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workbookPassword="8A33" lockStructure="1"/>
  <bookViews>
    <workbookView xWindow="240" yWindow="315" windowWidth="10800" windowHeight="7230" activeTab="1"/>
  </bookViews>
  <sheets>
    <sheet name="Instructions" sheetId="7" r:id="rId1"/>
    <sheet name="Flue Stack Economizer" sheetId="1" r:id="rId2"/>
    <sheet name="Hx Effectiveness (NTU)" sheetId="4" state="hidden" r:id="rId3"/>
    <sheet name="Pre-Analysis" sheetId="5" state="hidden" r:id="rId4"/>
    <sheet name="Calculations" sheetId="8" state="hidden" r:id="rId5"/>
    <sheet name="Steam Table" sheetId="9" state="hidden" r:id="rId6"/>
  </sheets>
  <calcPr calcId="145621"/>
</workbook>
</file>

<file path=xl/calcChain.xml><?xml version="1.0" encoding="utf-8"?>
<calcChain xmlns="http://schemas.openxmlformats.org/spreadsheetml/2006/main">
  <c r="F30" i="1" l="1"/>
  <c r="B16" i="8" l="1"/>
  <c r="B9" i="8" l="1"/>
  <c r="B8" i="8"/>
  <c r="B5" i="8"/>
  <c r="F20" i="1" s="1"/>
  <c r="B2" i="8"/>
  <c r="B3" i="8" s="1"/>
  <c r="F21" i="1" l="1"/>
  <c r="F22" i="1" s="1"/>
  <c r="C36" i="1" s="1"/>
  <c r="B17" i="8"/>
  <c r="B10" i="8"/>
  <c r="B12" i="8" s="1"/>
  <c r="F23" i="1" s="1"/>
  <c r="C3" i="5"/>
  <c r="B22" i="8" l="1"/>
  <c r="B18" i="8"/>
  <c r="B19" i="8" s="1"/>
  <c r="C22" i="8" l="1"/>
  <c r="B23" i="8"/>
  <c r="B24" i="8" s="1"/>
  <c r="C24" i="8" s="1"/>
  <c r="B25" i="8" l="1"/>
  <c r="B26" i="8" s="1"/>
  <c r="C4" i="5"/>
  <c r="C6" i="5"/>
  <c r="D16" i="5"/>
  <c r="C11" i="5"/>
  <c r="I8" i="5"/>
  <c r="I10" i="5" s="1"/>
  <c r="I7" i="5"/>
  <c r="I6" i="5"/>
  <c r="I5" i="5"/>
  <c r="I4" i="5"/>
  <c r="B27" i="8" l="1"/>
  <c r="B28" i="8" s="1"/>
  <c r="C28" i="8" s="1"/>
  <c r="C26" i="8"/>
  <c r="E16" i="5"/>
  <c r="F20" i="5"/>
  <c r="G20" i="5" s="1"/>
  <c r="F18" i="5"/>
  <c r="G18" i="5" s="1"/>
  <c r="F21" i="5"/>
  <c r="G21" i="5" s="1"/>
  <c r="F19" i="5"/>
  <c r="G19" i="5" s="1"/>
  <c r="F22" i="5"/>
  <c r="F17" i="5"/>
  <c r="G17" i="5" s="1"/>
  <c r="I9" i="5"/>
  <c r="I12" i="5"/>
  <c r="D6" i="4"/>
  <c r="B29" i="8" l="1"/>
  <c r="B30" i="8" s="1"/>
  <c r="G22" i="5"/>
  <c r="G23" i="5" s="1"/>
  <c r="I11" i="5"/>
  <c r="C4" i="4"/>
  <c r="D4" i="4"/>
  <c r="D8" i="4"/>
  <c r="C8" i="4"/>
  <c r="D7" i="4"/>
  <c r="C7" i="4"/>
  <c r="B31" i="8" l="1"/>
  <c r="B32" i="8" s="1"/>
  <c r="B33" i="8" s="1"/>
  <c r="B34" i="8" s="1"/>
  <c r="C34" i="8" s="1"/>
  <c r="C30" i="8"/>
  <c r="C12" i="5"/>
  <c r="C32" i="8" l="1"/>
  <c r="F24" i="1" s="1"/>
  <c r="C6" i="4"/>
  <c r="C12" i="4" s="1"/>
  <c r="C13" i="4" s="1"/>
  <c r="D5" i="4"/>
  <c r="F28" i="1" l="1"/>
  <c r="F32" i="1" s="1"/>
  <c r="C5" i="4"/>
  <c r="C11" i="4" l="1"/>
  <c r="C14" i="4" s="1"/>
  <c r="C15" i="4" s="1"/>
  <c r="C16" i="4" s="1"/>
</calcChain>
</file>

<file path=xl/sharedStrings.xml><?xml version="1.0" encoding="utf-8"?>
<sst xmlns="http://schemas.openxmlformats.org/spreadsheetml/2006/main" count="163" uniqueCount="133">
  <si>
    <t>F</t>
  </si>
  <si>
    <t>Air</t>
  </si>
  <si>
    <t>Concentric Tube, Parallel Flow</t>
  </si>
  <si>
    <t>Water</t>
  </si>
  <si>
    <t>Inputs</t>
  </si>
  <si>
    <t>Fluid 1</t>
  </si>
  <si>
    <t>Fluid 2</t>
  </si>
  <si>
    <t>Shell &amp; Tube (Single Shell Pass)</t>
  </si>
  <si>
    <t>Engine Oil</t>
  </si>
  <si>
    <t>Fluid Type</t>
  </si>
  <si>
    <t>Cross Flow, Unmixed</t>
  </si>
  <si>
    <t>Steam</t>
  </si>
  <si>
    <t>Entering T (F)</t>
  </si>
  <si>
    <t>Leaving T (F)</t>
  </si>
  <si>
    <t>Flow (CFM)</t>
  </si>
  <si>
    <t>Heat Exchanger Type</t>
  </si>
  <si>
    <t>LMTD</t>
  </si>
  <si>
    <t>U*A (Btu/F)</t>
  </si>
  <si>
    <t>NTU</t>
  </si>
  <si>
    <t>ε</t>
  </si>
  <si>
    <t>%</t>
  </si>
  <si>
    <t>Hrs.</t>
  </si>
  <si>
    <t>Ideal Gas Analysis</t>
  </si>
  <si>
    <t>Given Values</t>
  </si>
  <si>
    <t>Value</t>
  </si>
  <si>
    <t>Units</t>
  </si>
  <si>
    <t>Substance</t>
  </si>
  <si>
    <t>Enthalpy of Formation (BTU/lbmol)</t>
  </si>
  <si>
    <t>Molar Mass (lbm/lbmol)</t>
  </si>
  <si>
    <t>Products lbmole (N)</t>
  </si>
  <si>
    <t>Natural Gas HHV</t>
  </si>
  <si>
    <t>BTU</t>
  </si>
  <si>
    <t>Pressure at Combustion</t>
  </si>
  <si>
    <t>PSIA</t>
  </si>
  <si>
    <t>NO</t>
  </si>
  <si>
    <t>Primary Air Temp</t>
  </si>
  <si>
    <t>N2</t>
  </si>
  <si>
    <t>Stack Temp</t>
  </si>
  <si>
    <t>O2</t>
  </si>
  <si>
    <t>CO2</t>
  </si>
  <si>
    <t>CO</t>
  </si>
  <si>
    <t>PPM</t>
  </si>
  <si>
    <t>H2O</t>
  </si>
  <si>
    <t>CH3.8N.1</t>
  </si>
  <si>
    <t>Excess Air %</t>
  </si>
  <si>
    <t>Gas Constant R (psia*ft^3/lbm*R)</t>
  </si>
  <si>
    <t>Specific Density of Flue Gas (lbm/ft^3)</t>
  </si>
  <si>
    <t>ft^3</t>
  </si>
  <si>
    <t>Hp</t>
  </si>
  <si>
    <t>ρ (lbm/ft^3)</t>
  </si>
  <si>
    <r>
      <t>C</t>
    </r>
    <r>
      <rPr>
        <vertAlign val="subscript"/>
        <sz val="11"/>
        <rFont val="Arial"/>
        <family val="2"/>
      </rPr>
      <t xml:space="preserve">p </t>
    </r>
    <r>
      <rPr>
        <sz val="11"/>
        <rFont val="Arial"/>
        <family val="2"/>
      </rPr>
      <t>(Btu/lbm*F)</t>
    </r>
  </si>
  <si>
    <r>
      <t>C</t>
    </r>
    <r>
      <rPr>
        <vertAlign val="subscript"/>
        <sz val="11"/>
        <rFont val="Arial"/>
        <family val="2"/>
      </rPr>
      <t>min</t>
    </r>
  </si>
  <si>
    <r>
      <t>C</t>
    </r>
    <r>
      <rPr>
        <vertAlign val="subscript"/>
        <sz val="11"/>
        <rFont val="Arial"/>
        <family val="2"/>
      </rPr>
      <t>r</t>
    </r>
  </si>
  <si>
    <t>Outputs</t>
  </si>
  <si>
    <t>Project Summary</t>
  </si>
  <si>
    <t>Btu/Hr.</t>
  </si>
  <si>
    <t>$/Therm</t>
  </si>
  <si>
    <t>Yrs.</t>
  </si>
  <si>
    <t>Therms/Yr.</t>
  </si>
  <si>
    <t>Stack Gas Flow Rate:</t>
  </si>
  <si>
    <t>Leaving Stack Temperature:</t>
  </si>
  <si>
    <t>Annual Energy Savings:</t>
  </si>
  <si>
    <t>Project Cost:</t>
  </si>
  <si>
    <t>Incentive:</t>
  </si>
  <si>
    <t>Energy Cost:</t>
  </si>
  <si>
    <t>Simple Payback:</t>
  </si>
  <si>
    <t>1. Boiler Size (Select Units):</t>
  </si>
  <si>
    <t>2. Boiler Run Hours:</t>
  </si>
  <si>
    <t>3. Boiler Efficiency:</t>
  </si>
  <si>
    <t>4. Avg. Fire Percentage:</t>
  </si>
  <si>
    <t>5.Operating Pressure:</t>
  </si>
  <si>
    <t>˚F</t>
  </si>
  <si>
    <t>Fuel Input to Boiler</t>
  </si>
  <si>
    <t>therm/hr</t>
  </si>
  <si>
    <t>lb/hr</t>
  </si>
  <si>
    <t>Assuming 15% excess air</t>
  </si>
  <si>
    <t>LB/Hr Exhaust Gas</t>
  </si>
  <si>
    <r>
      <t>v</t>
    </r>
    <r>
      <rPr>
        <b/>
        <i/>
        <vertAlign val="subscript"/>
        <sz val="10"/>
        <rFont val="Arial"/>
        <family val="2"/>
      </rPr>
      <t>f</t>
    </r>
  </si>
  <si>
    <r>
      <t>v</t>
    </r>
    <r>
      <rPr>
        <b/>
        <i/>
        <vertAlign val="subscript"/>
        <sz val="10"/>
        <rFont val="Arial"/>
        <family val="2"/>
      </rPr>
      <t>g</t>
    </r>
  </si>
  <si>
    <r>
      <t>u</t>
    </r>
    <r>
      <rPr>
        <b/>
        <i/>
        <vertAlign val="subscript"/>
        <sz val="10"/>
        <rFont val="Arial"/>
        <family val="2"/>
      </rPr>
      <t>f</t>
    </r>
  </si>
  <si>
    <r>
      <t>u</t>
    </r>
    <r>
      <rPr>
        <b/>
        <i/>
        <vertAlign val="subscript"/>
        <sz val="10"/>
        <rFont val="Arial"/>
        <family val="2"/>
      </rPr>
      <t>g</t>
    </r>
  </si>
  <si>
    <r>
      <t>s</t>
    </r>
    <r>
      <rPr>
        <b/>
        <i/>
        <vertAlign val="subscript"/>
        <sz val="10"/>
        <rFont val="Arial"/>
        <family val="2"/>
      </rPr>
      <t>f</t>
    </r>
  </si>
  <si>
    <r>
      <t>s</t>
    </r>
    <r>
      <rPr>
        <b/>
        <i/>
        <vertAlign val="subscript"/>
        <sz val="10"/>
        <rFont val="Arial"/>
        <family val="2"/>
      </rPr>
      <t>g</t>
    </r>
  </si>
  <si>
    <t>              0.016358</t>
  </si>
  <si>
    <t>              0.016451</t>
  </si>
  <si>
    <t>13. 748</t>
  </si>
  <si>
    <t>1. 5442</t>
  </si>
  <si>
    <t>0.2 183</t>
  </si>
  <si>
    <t>psia</t>
  </si>
  <si>
    <t>Temp (F)</t>
  </si>
  <si>
    <t>Operating Temperature</t>
  </si>
  <si>
    <t>Note: If unknown, default to 180F</t>
  </si>
  <si>
    <t>Note: Found on combustion report. If unknown, default to 100F above operating temp</t>
  </si>
  <si>
    <t>Note: If unknown, default to 70%</t>
  </si>
  <si>
    <t>Note: If unknown, default to 80%</t>
  </si>
  <si>
    <t>Note: 8760 hours in a year</t>
  </si>
  <si>
    <t>PSIG</t>
  </si>
  <si>
    <r>
      <t>h</t>
    </r>
    <r>
      <rPr>
        <b/>
        <i/>
        <vertAlign val="subscript"/>
        <sz val="10"/>
        <rFont val="Arial"/>
        <family val="2"/>
      </rPr>
      <t>g steam</t>
    </r>
  </si>
  <si>
    <t>Exhaust Calcs</t>
  </si>
  <si>
    <t>GPM Calcs</t>
  </si>
  <si>
    <t>Enthalpy of steam</t>
  </si>
  <si>
    <t>Btu/lb</t>
  </si>
  <si>
    <t>Steam Output</t>
  </si>
  <si>
    <t>Ethalpy of feedwater</t>
  </si>
  <si>
    <r>
      <t>h</t>
    </r>
    <r>
      <rPr>
        <b/>
        <i/>
        <vertAlign val="subscript"/>
        <sz val="10"/>
        <rFont val="Arial"/>
        <family val="2"/>
      </rPr>
      <t>f water</t>
    </r>
  </si>
  <si>
    <t>Feedwater Flow Rate</t>
  </si>
  <si>
    <t>gpm</t>
  </si>
  <si>
    <t>Specific Weight of Water</t>
  </si>
  <si>
    <t>lb/gal</t>
  </si>
  <si>
    <t>Assuming 180F</t>
  </si>
  <si>
    <t>Leaving Water Temperature:</t>
  </si>
  <si>
    <t>Feedwater Check</t>
  </si>
  <si>
    <t>Outgoing Temperature</t>
  </si>
  <si>
    <t>If Out &gt; Operating</t>
  </si>
  <si>
    <t>Heat Recovered</t>
  </si>
  <si>
    <t>Assumed Outgoing Stack Temp</t>
  </si>
  <si>
    <t>Note:  Can input in boiler hp or Btuh by switching unit pulldown menu</t>
  </si>
  <si>
    <t>Btu/hr</t>
  </si>
  <si>
    <t>Annual Heat Recovered</t>
  </si>
  <si>
    <t>therm/yr</t>
  </si>
  <si>
    <t>Therm Savings</t>
  </si>
  <si>
    <t>Assumed Jacket Loss</t>
  </si>
  <si>
    <t>add 40F to incoming water temp and 70F above that</t>
  </si>
  <si>
    <t>If 1, then heating the water too high</t>
  </si>
  <si>
    <t>Heat Recovered - 1st time through</t>
  </si>
  <si>
    <t>Boiler Operating Temperature</t>
  </si>
  <si>
    <t>GPM</t>
  </si>
  <si>
    <t>Boiler Feedwater Flow Rate:</t>
  </si>
  <si>
    <t>LB/HR</t>
  </si>
  <si>
    <t>6. Entering Water Temperature:</t>
  </si>
  <si>
    <t>7. Entering Stack Temperature:</t>
  </si>
  <si>
    <t>Note: Gage pressure or psig</t>
  </si>
  <si>
    <t>Custom Incentives: Boiler Flue Stack Economizer Calculator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</si>
</sst>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_);[Red]\(&quot;$&quot;#,##0\)"/>
    <numFmt numFmtId="44" formatCode="_(&quot;$&quot;* #,##0.00_);_(&quot;$&quot;* \(#,##0.00\);_(&quot;$&quot;* &quot;-&quot;??_);_(@_)"/>
    <numFmt numFmtId="43" formatCode="_(* #,##0.00_);_(* \(#,##0.00\);_(* &quot;-&quot;??_);_(@_)"/>
    <numFmt numFmtId="164" formatCode="0.0%"/>
    <numFmt numFmtId="165" formatCode="#,##0.0"/>
    <numFmt numFmtId="166" formatCode="&quot;$&quot;#,##0"/>
    <numFmt numFmtId="167" formatCode="0.000000"/>
    <numFmt numFmtId="168" formatCode="0.0"/>
    <numFmt numFmtId="169" formatCode="0.00000000"/>
    <numFmt numFmtId="170" formatCode="0.0000000000"/>
    <numFmt numFmtId="171" formatCode="_-* #,##0.0_-;\-* #,##0.0_-;_-* &quot;-&quot;??_-;_-@_-"/>
    <numFmt numFmtId="172" formatCode="#,##0.00&quot; $&quot;;\-#,##0.00&quot; $&quot;"/>
    <numFmt numFmtId="173" formatCode="0.00_)"/>
    <numFmt numFmtId="174" formatCode="_(* #,##0_);_(* \(#,##0\);_(* &quot;-&quot;??_);_(@_)"/>
    <numFmt numFmtId="175" formatCode="&quot;$&quot;#,##0.00"/>
    <numFmt numFmtId="176" formatCode="_(* #,##0.0000_);_(* \(#,##0.0000\);_(* &quot;-&quot;??_);_(@_)"/>
    <numFmt numFmtId="177" formatCode="_(* #,##0.0000000_);_(* \(#,##0.0000000\);_(* &quot;-&quot;??_);_(@_)"/>
  </numFmts>
  <fonts count="37">
    <font>
      <sz val="11"/>
      <color theme="1"/>
      <name val="Calibri"/>
      <family val="2"/>
      <scheme val="minor"/>
    </font>
    <font>
      <sz val="10"/>
      <name val="Arial"/>
      <family val="2"/>
    </font>
    <font>
      <sz val="12"/>
      <name val="Arial"/>
      <family val="2"/>
    </font>
    <font>
      <sz val="12"/>
      <color theme="1"/>
      <name val="Arial"/>
      <family val="2"/>
    </font>
    <font>
      <sz val="11"/>
      <color theme="1"/>
      <name val="Arial"/>
      <family val="2"/>
    </font>
    <font>
      <b/>
      <sz val="11"/>
      <color theme="1"/>
      <name val="Arial"/>
      <family val="2"/>
    </font>
    <font>
      <sz val="11"/>
      <color theme="1"/>
      <name val="Calibri"/>
      <family val="2"/>
      <scheme val="minor"/>
    </font>
    <font>
      <sz val="11"/>
      <name val="Calibri"/>
      <family val="2"/>
      <scheme val="minor"/>
    </font>
    <font>
      <sz val="9"/>
      <name val="Arial"/>
      <family val="2"/>
    </font>
    <font>
      <i/>
      <sz val="11"/>
      <name val="Calibri"/>
      <family val="2"/>
      <scheme val="minor"/>
    </font>
    <font>
      <i/>
      <sz val="9"/>
      <name val="Arial"/>
      <family val="2"/>
    </font>
    <font>
      <b/>
      <sz val="11"/>
      <name val="Arial"/>
      <family val="2"/>
    </font>
    <font>
      <sz val="11"/>
      <name val="Arial"/>
      <family val="2"/>
    </font>
    <font>
      <b/>
      <sz val="11"/>
      <name val="Calibri"/>
      <family val="2"/>
      <scheme val="minor"/>
    </font>
    <font>
      <b/>
      <i/>
      <sz val="11"/>
      <name val="Calibri"/>
      <family val="2"/>
      <scheme val="minor"/>
    </font>
    <font>
      <vertAlign val="subscript"/>
      <sz val="11"/>
      <name val="Arial"/>
      <family val="2"/>
    </font>
    <font>
      <sz val="10"/>
      <name val="Geneva"/>
    </font>
    <font>
      <sz val="11"/>
      <color indexed="8"/>
      <name val="Calibri"/>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2"/>
      <color rgb="FF005596"/>
      <name val="Arial"/>
      <family val="2"/>
    </font>
    <font>
      <b/>
      <sz val="12"/>
      <color rgb="FF00498A"/>
      <name val="Arial"/>
      <family val="2"/>
    </font>
    <font>
      <sz val="11"/>
      <color rgb="FFFF0000"/>
      <name val="Arial"/>
      <family val="2"/>
    </font>
    <font>
      <b/>
      <sz val="10"/>
      <name val="Arial"/>
      <family val="2"/>
    </font>
    <font>
      <sz val="10"/>
      <color theme="1"/>
      <name val="Arial"/>
      <family val="2"/>
    </font>
    <font>
      <b/>
      <sz val="10"/>
      <color theme="1"/>
      <name val="Arial"/>
      <family val="2"/>
    </font>
    <font>
      <b/>
      <sz val="10"/>
      <color rgb="FF404040"/>
      <name val="Calibri"/>
      <family val="2"/>
      <scheme val="minor"/>
    </font>
    <font>
      <b/>
      <i/>
      <sz val="10"/>
      <name val="Arial"/>
      <family val="2"/>
    </font>
    <font>
      <b/>
      <i/>
      <vertAlign val="subscript"/>
      <sz val="10"/>
      <name val="Arial"/>
      <family val="2"/>
    </font>
    <font>
      <sz val="12"/>
      <name val="Verdana"/>
      <family val="2"/>
    </font>
    <font>
      <b/>
      <sz val="12"/>
      <color theme="1"/>
      <name val="Calibri"/>
      <family val="2"/>
      <scheme val="minor"/>
    </font>
    <font>
      <b/>
      <sz val="16"/>
      <color rgb="FF005596"/>
      <name val="Arial"/>
      <family val="2"/>
    </font>
  </fonts>
  <fills count="10">
    <fill>
      <patternFill patternType="none"/>
    </fill>
    <fill>
      <patternFill patternType="gray125"/>
    </fill>
    <fill>
      <patternFill patternType="solid">
        <fgColor theme="0"/>
        <bgColor indexed="64"/>
      </patternFill>
    </fill>
    <fill>
      <patternFill patternType="solid">
        <fgColor rgb="FF009530"/>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rgb="FF005596"/>
        <bgColor indexed="64"/>
      </patternFill>
    </fill>
  </fills>
  <borders count="48">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E3E1E1"/>
      </left>
      <right/>
      <top/>
      <bottom/>
      <diagonal/>
    </border>
    <border>
      <left style="thin">
        <color rgb="FFE3E1E1"/>
      </left>
      <right style="thin">
        <color rgb="FFE3E1E1"/>
      </right>
      <top/>
      <bottom/>
      <diagonal/>
    </border>
    <border>
      <left/>
      <right style="thin">
        <color rgb="FFE3E1E1"/>
      </right>
      <top/>
      <bottom/>
      <diagonal/>
    </border>
    <border>
      <left/>
      <right style="thin">
        <color rgb="FFF8F8F8"/>
      </right>
      <top/>
      <bottom style="thin">
        <color rgb="FFF8F8F8"/>
      </bottom>
      <diagonal/>
    </border>
    <border>
      <left/>
      <right style="thin">
        <color rgb="FFD2D2D0"/>
      </right>
      <top/>
      <bottom style="thin">
        <color rgb="FFF8F8F8"/>
      </bottom>
      <diagonal/>
    </border>
    <border>
      <left style="thin">
        <color rgb="FFF8F8F8"/>
      </left>
      <right style="thin">
        <color rgb="FFF8F8F8"/>
      </right>
      <top/>
      <bottom style="thin">
        <color rgb="FFF8F8F8"/>
      </bottom>
      <diagonal/>
    </border>
    <border>
      <left/>
      <right style="thin">
        <color rgb="FFF8F8F8"/>
      </right>
      <top/>
      <bottom style="thin">
        <color rgb="FFD2D2D0"/>
      </bottom>
      <diagonal/>
    </border>
    <border>
      <left/>
      <right style="thin">
        <color rgb="FFF8F8F8"/>
      </right>
      <top/>
      <bottom/>
      <diagonal/>
    </border>
    <border>
      <left/>
      <right style="thin">
        <color rgb="FFF8F8F8"/>
      </right>
      <top style="thin">
        <color rgb="FFF8F8F8"/>
      </top>
      <bottom style="thin">
        <color rgb="FFF8F8F8"/>
      </bottom>
      <diagonal/>
    </border>
    <border>
      <left/>
      <right style="thin">
        <color rgb="FFF8F8F8"/>
      </right>
      <top/>
      <bottom style="thin">
        <color rgb="FFD3D3D3"/>
      </bottom>
      <diagonal/>
    </border>
  </borders>
  <cellStyleXfs count="54">
    <xf numFmtId="0" fontId="0"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170" fontId="16" fillId="5" borderId="34">
      <alignment horizontal="center" vertical="center"/>
    </xf>
    <xf numFmtId="43" fontId="6" fillId="0" borderId="0" applyFont="0" applyFill="0" applyBorder="0" applyAlignment="0" applyProtection="0"/>
    <xf numFmtId="43" fontId="17"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6" fontId="18" fillId="0" borderId="0">
      <protection locked="0"/>
    </xf>
    <xf numFmtId="171" fontId="1" fillId="0" borderId="0">
      <protection locked="0"/>
    </xf>
    <xf numFmtId="38" fontId="19" fillId="6" borderId="0" applyNumberFormat="0" applyBorder="0" applyAlignment="0" applyProtection="0"/>
    <xf numFmtId="0" fontId="20" fillId="0" borderId="0" applyNumberFormat="0" applyFill="0" applyBorder="0" applyAlignment="0" applyProtection="0"/>
    <xf numFmtId="172" fontId="1" fillId="0" borderId="0">
      <protection locked="0"/>
    </xf>
    <xf numFmtId="172" fontId="1" fillId="0" borderId="0">
      <protection locked="0"/>
    </xf>
    <xf numFmtId="0" fontId="21" fillId="0" borderId="35" applyNumberFormat="0" applyFill="0" applyAlignment="0" applyProtection="0"/>
    <xf numFmtId="10" fontId="19" fillId="7" borderId="23" applyNumberFormat="0" applyBorder="0" applyAlignment="0" applyProtection="0"/>
    <xf numFmtId="37" fontId="22" fillId="0" borderId="0"/>
    <xf numFmtId="173" fontId="23" fillId="0" borderId="0"/>
    <xf numFmtId="0" fontId="1" fillId="0" borderId="0"/>
    <xf numFmtId="0" fontId="6" fillId="0" borderId="0"/>
    <xf numFmtId="0" fontId="1" fillId="0" borderId="0"/>
    <xf numFmtId="0" fontId="1" fillId="0" borderId="0"/>
    <xf numFmtId="0" fontId="1" fillId="0" borderId="0"/>
    <xf numFmtId="0" fontId="6" fillId="0" borderId="0"/>
    <xf numFmtId="0" fontId="2" fillId="0" borderId="0"/>
    <xf numFmtId="0" fontId="6" fillId="0" borderId="0"/>
    <xf numFmtId="0" fontId="1" fillId="0" borderId="0"/>
    <xf numFmtId="0" fontId="6" fillId="0" borderId="0"/>
    <xf numFmtId="0" fontId="1" fillId="0" borderId="0" applyNumberFormat="0" applyFill="0" applyBorder="0" applyAlignment="0" applyProtection="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10"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37" fontId="19" fillId="8" borderId="0" applyNumberFormat="0" applyBorder="0" applyAlignment="0" applyProtection="0"/>
    <xf numFmtId="37" fontId="19" fillId="0" borderId="0"/>
    <xf numFmtId="3" fontId="24" fillId="0" borderId="35" applyProtection="0"/>
    <xf numFmtId="43" fontId="6" fillId="0" borderId="0" applyFont="0" applyFill="0" applyBorder="0" applyAlignment="0" applyProtection="0"/>
    <xf numFmtId="9" fontId="6" fillId="0" borderId="0" applyFont="0" applyFill="0" applyBorder="0" applyAlignment="0" applyProtection="0"/>
  </cellStyleXfs>
  <cellXfs count="232">
    <xf numFmtId="0" fontId="0" fillId="0" borderId="0" xfId="0"/>
    <xf numFmtId="0" fontId="7" fillId="4" borderId="22" xfId="0" applyFont="1" applyFill="1" applyBorder="1"/>
    <xf numFmtId="168" fontId="7" fillId="4" borderId="23" xfId="0" applyNumberFormat="1" applyFont="1" applyFill="1" applyBorder="1"/>
    <xf numFmtId="0" fontId="7" fillId="4" borderId="24" xfId="0" applyFont="1" applyFill="1" applyBorder="1"/>
    <xf numFmtId="0" fontId="7" fillId="4" borderId="23" xfId="0" applyFont="1" applyFill="1" applyBorder="1"/>
    <xf numFmtId="9" fontId="7" fillId="4" borderId="22" xfId="0" applyNumberFormat="1" applyFont="1" applyFill="1" applyBorder="1"/>
    <xf numFmtId="164" fontId="7" fillId="4" borderId="23" xfId="0" applyNumberFormat="1" applyFont="1" applyFill="1" applyBorder="1"/>
    <xf numFmtId="165" fontId="7" fillId="4" borderId="23" xfId="0" applyNumberFormat="1" applyFont="1" applyFill="1" applyBorder="1"/>
    <xf numFmtId="1" fontId="7" fillId="4" borderId="23" xfId="0" applyNumberFormat="1" applyFont="1" applyFill="1" applyBorder="1"/>
    <xf numFmtId="0" fontId="7" fillId="0" borderId="0" xfId="0" applyFont="1" applyFill="1" applyBorder="1"/>
    <xf numFmtId="0" fontId="8" fillId="0" borderId="0" xfId="0" applyFont="1"/>
    <xf numFmtId="4" fontId="7" fillId="0" borderId="0" xfId="0" applyNumberFormat="1" applyFont="1"/>
    <xf numFmtId="0" fontId="7" fillId="0" borderId="0" xfId="0" applyFont="1"/>
    <xf numFmtId="0" fontId="9" fillId="0" borderId="0" xfId="0" applyFont="1"/>
    <xf numFmtId="0" fontId="10" fillId="0" borderId="0" xfId="0" applyFont="1"/>
    <xf numFmtId="0" fontId="9" fillId="0" borderId="0" xfId="0" applyFont="1" applyAlignment="1">
      <alignment wrapText="1"/>
    </xf>
    <xf numFmtId="0" fontId="10" fillId="0" borderId="0" xfId="0" applyFont="1" applyAlignment="1">
      <alignment wrapText="1"/>
    </xf>
    <xf numFmtId="2" fontId="9" fillId="0" borderId="0" xfId="0" applyNumberFormat="1" applyFont="1"/>
    <xf numFmtId="2" fontId="10" fillId="0" borderId="0" xfId="0" applyNumberFormat="1" applyFont="1"/>
    <xf numFmtId="0" fontId="13" fillId="0" borderId="19" xfId="0" applyFont="1" applyBorder="1"/>
    <xf numFmtId="0" fontId="13" fillId="0" borderId="20" xfId="0" applyFont="1" applyBorder="1"/>
    <xf numFmtId="0" fontId="13" fillId="0" borderId="21" xfId="0" applyFont="1" applyBorder="1"/>
    <xf numFmtId="0" fontId="7" fillId="0" borderId="19" xfId="0" applyFont="1" applyBorder="1"/>
    <xf numFmtId="0" fontId="7" fillId="0" borderId="20" xfId="0" applyFont="1" applyBorder="1" applyAlignment="1">
      <alignment wrapText="1"/>
    </xf>
    <xf numFmtId="0" fontId="7" fillId="0" borderId="21" xfId="0" applyFont="1" applyFill="1" applyBorder="1" applyAlignment="1">
      <alignment wrapText="1"/>
    </xf>
    <xf numFmtId="0" fontId="7" fillId="0" borderId="0" xfId="0" applyFont="1" applyFill="1" applyBorder="1" applyAlignment="1">
      <alignment wrapText="1"/>
    </xf>
    <xf numFmtId="0" fontId="7" fillId="0" borderId="22" xfId="0" applyFont="1" applyBorder="1"/>
    <xf numFmtId="165" fontId="7" fillId="0" borderId="23" xfId="0" applyNumberFormat="1" applyFont="1" applyBorder="1"/>
    <xf numFmtId="0" fontId="7" fillId="0" borderId="24" xfId="0" applyFont="1" applyBorder="1"/>
    <xf numFmtId="0" fontId="7" fillId="0" borderId="25" xfId="0" applyFont="1" applyBorder="1"/>
    <xf numFmtId="0" fontId="7" fillId="0" borderId="26" xfId="0" applyFont="1" applyBorder="1" applyAlignment="1">
      <alignment wrapText="1"/>
    </xf>
    <xf numFmtId="0" fontId="7" fillId="0" borderId="27" xfId="0" applyFont="1" applyFill="1" applyBorder="1" applyAlignment="1">
      <alignment wrapText="1"/>
    </xf>
    <xf numFmtId="2" fontId="7" fillId="0" borderId="0" xfId="0" applyNumberFormat="1" applyFont="1" applyBorder="1"/>
    <xf numFmtId="10" fontId="7" fillId="0" borderId="0" xfId="0" applyNumberFormat="1" applyFont="1" applyBorder="1"/>
    <xf numFmtId="3" fontId="7" fillId="0" borderId="23" xfId="0" applyNumberFormat="1" applyFont="1" applyBorder="1"/>
    <xf numFmtId="165" fontId="7" fillId="0" borderId="23" xfId="0" applyNumberFormat="1" applyFont="1" applyBorder="1" applyAlignment="1">
      <alignment wrapText="1"/>
    </xf>
    <xf numFmtId="0" fontId="7" fillId="0" borderId="23" xfId="0" applyFont="1" applyBorder="1" applyAlignment="1">
      <alignment wrapText="1"/>
    </xf>
    <xf numFmtId="168" fontId="7" fillId="0" borderId="24" xfId="0" applyNumberFormat="1" applyFont="1" applyBorder="1"/>
    <xf numFmtId="0" fontId="7" fillId="0" borderId="23" xfId="0" applyFont="1" applyBorder="1"/>
    <xf numFmtId="2" fontId="7" fillId="0" borderId="0" xfId="0" applyNumberFormat="1" applyFont="1" applyFill="1" applyBorder="1"/>
    <xf numFmtId="10" fontId="7" fillId="0" borderId="0" xfId="0" applyNumberFormat="1" applyFont="1" applyFill="1" applyBorder="1"/>
    <xf numFmtId="2" fontId="7" fillId="0" borderId="0" xfId="0" applyNumberFormat="1" applyFont="1"/>
    <xf numFmtId="0" fontId="7" fillId="0" borderId="22" xfId="0" applyFont="1" applyFill="1" applyBorder="1"/>
    <xf numFmtId="165" fontId="7" fillId="0" borderId="23" xfId="0" applyNumberFormat="1" applyFont="1" applyFill="1" applyBorder="1"/>
    <xf numFmtId="0" fontId="7" fillId="0" borderId="23" xfId="0" applyFont="1" applyFill="1" applyBorder="1"/>
    <xf numFmtId="168" fontId="7" fillId="0" borderId="24" xfId="0" applyNumberFormat="1" applyFont="1" applyFill="1" applyBorder="1"/>
    <xf numFmtId="167" fontId="7" fillId="0" borderId="0" xfId="0" applyNumberFormat="1" applyFont="1" applyBorder="1"/>
    <xf numFmtId="0" fontId="7" fillId="0" borderId="28" xfId="0" applyFont="1" applyBorder="1"/>
    <xf numFmtId="165" fontId="7" fillId="0" borderId="29" xfId="0" applyNumberFormat="1" applyFont="1" applyBorder="1"/>
    <xf numFmtId="0" fontId="7" fillId="0" borderId="29" xfId="0" applyFont="1" applyBorder="1"/>
    <xf numFmtId="168" fontId="7" fillId="0" borderId="30" xfId="0" applyNumberFormat="1" applyFont="1" applyBorder="1"/>
    <xf numFmtId="0" fontId="7" fillId="0" borderId="0" xfId="0" applyFont="1" applyBorder="1"/>
    <xf numFmtId="167" fontId="7" fillId="0" borderId="0" xfId="0" applyNumberFormat="1" applyFont="1" applyFill="1" applyBorder="1"/>
    <xf numFmtId="168" fontId="7" fillId="0" borderId="0" xfId="0" applyNumberFormat="1" applyFont="1" applyBorder="1"/>
    <xf numFmtId="4" fontId="7" fillId="0" borderId="0" xfId="0" applyNumberFormat="1" applyFont="1" applyFill="1" applyBorder="1"/>
    <xf numFmtId="165" fontId="7" fillId="0" borderId="20" xfId="0" applyNumberFormat="1" applyFont="1" applyBorder="1"/>
    <xf numFmtId="0" fontId="7" fillId="0" borderId="20" xfId="0" applyFont="1" applyBorder="1"/>
    <xf numFmtId="168" fontId="7" fillId="0" borderId="21" xfId="0" applyNumberFormat="1" applyFont="1" applyBorder="1"/>
    <xf numFmtId="10" fontId="7" fillId="0" borderId="23" xfId="0" applyNumberFormat="1" applyFont="1" applyBorder="1"/>
    <xf numFmtId="0" fontId="7" fillId="0" borderId="31" xfId="0" applyFont="1" applyBorder="1"/>
    <xf numFmtId="164" fontId="7" fillId="0" borderId="32" xfId="0" applyNumberFormat="1" applyFont="1" applyBorder="1"/>
    <xf numFmtId="0" fontId="7" fillId="0" borderId="33" xfId="0" applyFont="1" applyBorder="1"/>
    <xf numFmtId="165" fontId="7" fillId="0" borderId="32" xfId="0" applyNumberFormat="1" applyFont="1" applyFill="1" applyBorder="1"/>
    <xf numFmtId="0" fontId="7" fillId="0" borderId="32" xfId="0" applyFont="1" applyBorder="1"/>
    <xf numFmtId="168" fontId="7" fillId="0" borderId="33" xfId="0" applyNumberFormat="1" applyFont="1" applyBorder="1"/>
    <xf numFmtId="165" fontId="7" fillId="0" borderId="0" xfId="0" applyNumberFormat="1" applyFont="1" applyBorder="1"/>
    <xf numFmtId="168" fontId="7" fillId="0" borderId="0" xfId="0" applyNumberFormat="1" applyFont="1" applyFill="1" applyBorder="1"/>
    <xf numFmtId="0" fontId="7" fillId="0" borderId="0" xfId="0" applyFont="1" applyAlignment="1">
      <alignment wrapText="1"/>
    </xf>
    <xf numFmtId="4" fontId="9" fillId="0" borderId="0" xfId="0" applyNumberFormat="1" applyFont="1"/>
    <xf numFmtId="165" fontId="9" fillId="0" borderId="0" xfId="0" applyNumberFormat="1" applyFont="1"/>
    <xf numFmtId="0" fontId="14" fillId="0" borderId="3" xfId="0" applyFont="1" applyBorder="1"/>
    <xf numFmtId="2" fontId="7" fillId="0" borderId="0" xfId="0" applyNumberFormat="1" applyFont="1" applyFill="1" applyBorder="1" applyAlignment="1">
      <alignment wrapText="1"/>
    </xf>
    <xf numFmtId="169" fontId="7" fillId="0" borderId="0" xfId="0" applyNumberFormat="1" applyFont="1" applyBorder="1"/>
    <xf numFmtId="0" fontId="7" fillId="0" borderId="0" xfId="0" applyFont="1" applyBorder="1" applyAlignment="1">
      <alignment wrapText="1"/>
    </xf>
    <xf numFmtId="4" fontId="7" fillId="0" borderId="0" xfId="0" applyNumberFormat="1" applyFont="1" applyBorder="1"/>
    <xf numFmtId="164" fontId="13" fillId="0" borderId="0" xfId="0" applyNumberFormat="1" applyFont="1" applyBorder="1"/>
    <xf numFmtId="0" fontId="13" fillId="0" borderId="0" xfId="0" applyFont="1" applyBorder="1"/>
    <xf numFmtId="0" fontId="9" fillId="0" borderId="0" xfId="0" applyFont="1" applyBorder="1"/>
    <xf numFmtId="0" fontId="9" fillId="0" borderId="0" xfId="0" applyFont="1" applyBorder="1" applyAlignment="1">
      <alignment wrapText="1"/>
    </xf>
    <xf numFmtId="4" fontId="9" fillId="0" borderId="0" xfId="0" applyNumberFormat="1" applyFont="1" applyBorder="1"/>
    <xf numFmtId="4" fontId="9" fillId="0" borderId="0" xfId="0" applyNumberFormat="1" applyFont="1" applyFill="1" applyBorder="1"/>
    <xf numFmtId="165" fontId="9" fillId="0" borderId="0" xfId="0" applyNumberFormat="1" applyFont="1" applyBorder="1"/>
    <xf numFmtId="164" fontId="14" fillId="0" borderId="0" xfId="0" applyNumberFormat="1" applyFont="1" applyBorder="1"/>
    <xf numFmtId="0" fontId="12" fillId="2" borderId="0" xfId="1" applyFont="1" applyFill="1" applyAlignment="1">
      <alignment horizontal="center" vertical="center"/>
    </xf>
    <xf numFmtId="0" fontId="12" fillId="0" borderId="0" xfId="1" applyFont="1"/>
    <xf numFmtId="0" fontId="11" fillId="2" borderId="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12" xfId="1" applyFont="1" applyFill="1" applyBorder="1" applyAlignment="1">
      <alignment horizontal="center" vertical="center"/>
    </xf>
    <xf numFmtId="0" fontId="12" fillId="2" borderId="0" xfId="1" applyFont="1" applyFill="1" applyBorder="1" applyAlignment="1">
      <alignment horizontal="center" vertical="center"/>
    </xf>
    <xf numFmtId="0" fontId="11" fillId="3" borderId="1" xfId="1" applyFont="1" applyFill="1" applyBorder="1" applyAlignment="1">
      <alignment horizontal="center" vertical="center"/>
    </xf>
    <xf numFmtId="0" fontId="11" fillId="2" borderId="0" xfId="1" applyFont="1" applyFill="1" applyBorder="1" applyAlignment="1">
      <alignment horizontal="center" vertical="center"/>
    </xf>
    <xf numFmtId="0" fontId="11" fillId="2" borderId="0" xfId="1" applyFont="1" applyFill="1" applyAlignment="1">
      <alignment horizontal="left" vertical="center"/>
    </xf>
    <xf numFmtId="0" fontId="1" fillId="2" borderId="0" xfId="2" applyFill="1"/>
    <xf numFmtId="4" fontId="12" fillId="2" borderId="5" xfId="1" applyNumberFormat="1" applyFont="1" applyFill="1" applyBorder="1" applyAlignment="1" applyProtection="1">
      <alignment horizontal="center" vertical="center"/>
      <protection hidden="1"/>
    </xf>
    <xf numFmtId="4" fontId="12" fillId="2" borderId="6" xfId="1" applyNumberFormat="1" applyFont="1" applyFill="1" applyBorder="1" applyAlignment="1" applyProtection="1">
      <alignment horizontal="center" vertical="center"/>
      <protection hidden="1"/>
    </xf>
    <xf numFmtId="0" fontId="12" fillId="2" borderId="5" xfId="1" applyFont="1" applyFill="1" applyBorder="1" applyAlignment="1" applyProtection="1">
      <alignment horizontal="center" vertical="center"/>
      <protection hidden="1"/>
    </xf>
    <xf numFmtId="0" fontId="12" fillId="2" borderId="7" xfId="1" applyFont="1" applyFill="1" applyBorder="1" applyAlignment="1" applyProtection="1">
      <alignment horizontal="center" vertical="center"/>
      <protection hidden="1"/>
    </xf>
    <xf numFmtId="0" fontId="12" fillId="2" borderId="9" xfId="1" applyFont="1" applyFill="1" applyBorder="1" applyAlignment="1" applyProtection="1">
      <alignment horizontal="center" vertical="center"/>
      <protection hidden="1"/>
    </xf>
    <xf numFmtId="0" fontId="12" fillId="2" borderId="10" xfId="1" applyFont="1" applyFill="1" applyBorder="1" applyAlignment="1" applyProtection="1">
      <alignment horizontal="center" vertical="center"/>
      <protection hidden="1"/>
    </xf>
    <xf numFmtId="4" fontId="12" fillId="2" borderId="7" xfId="1" applyNumberFormat="1" applyFont="1" applyFill="1" applyBorder="1" applyAlignment="1" applyProtection="1">
      <alignment horizontal="center" vertical="center"/>
      <protection hidden="1"/>
    </xf>
    <xf numFmtId="9" fontId="11" fillId="3" borderId="13" xfId="1" applyNumberFormat="1" applyFont="1" applyFill="1" applyBorder="1" applyAlignment="1" applyProtection="1">
      <alignment horizontal="center" vertical="center"/>
      <protection hidden="1"/>
    </xf>
    <xf numFmtId="0" fontId="25" fillId="2" borderId="15" xfId="0" applyFont="1" applyFill="1" applyBorder="1" applyAlignment="1">
      <alignment vertical="center" wrapText="1"/>
    </xf>
    <xf numFmtId="0" fontId="25" fillId="2" borderId="14" xfId="0" applyFont="1" applyFill="1" applyBorder="1" applyAlignment="1">
      <alignment vertical="center" wrapText="1"/>
    </xf>
    <xf numFmtId="0" fontId="26" fillId="2" borderId="16" xfId="0" applyFont="1" applyFill="1" applyBorder="1" applyAlignment="1">
      <alignment vertical="center"/>
    </xf>
    <xf numFmtId="0" fontId="26" fillId="2" borderId="17" xfId="0" applyFont="1" applyFill="1" applyBorder="1" applyAlignment="1">
      <alignment vertical="center"/>
    </xf>
    <xf numFmtId="0" fontId="4" fillId="2" borderId="0" xfId="0" applyFont="1" applyFill="1" applyAlignment="1">
      <alignment vertical="center"/>
    </xf>
    <xf numFmtId="0" fontId="11" fillId="9" borderId="4" xfId="0" applyFont="1" applyFill="1" applyBorder="1" applyAlignment="1">
      <alignment vertical="center"/>
    </xf>
    <xf numFmtId="0" fontId="11" fillId="9" borderId="6" xfId="0" applyFont="1" applyFill="1" applyBorder="1" applyAlignment="1">
      <alignment vertical="center"/>
    </xf>
    <xf numFmtId="0" fontId="4" fillId="9" borderId="4" xfId="0" applyFont="1" applyFill="1" applyBorder="1" applyAlignment="1">
      <alignment vertical="center"/>
    </xf>
    <xf numFmtId="0" fontId="4" fillId="9" borderId="0" xfId="0" applyFont="1" applyFill="1" applyBorder="1" applyAlignment="1">
      <alignment vertical="center"/>
    </xf>
    <xf numFmtId="0" fontId="4" fillId="9" borderId="6" xfId="0" applyFont="1" applyFill="1" applyBorder="1" applyAlignment="1">
      <alignment vertical="center"/>
    </xf>
    <xf numFmtId="0" fontId="12" fillId="9" borderId="11" xfId="0" applyFont="1" applyFill="1" applyBorder="1" applyAlignment="1">
      <alignment vertical="center"/>
    </xf>
    <xf numFmtId="0" fontId="12" fillId="9" borderId="14" xfId="0" applyFont="1" applyFill="1" applyBorder="1" applyAlignment="1">
      <alignment vertical="center"/>
    </xf>
    <xf numFmtId="0" fontId="12" fillId="9" borderId="1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164" fontId="4" fillId="2" borderId="0" xfId="0" applyNumberFormat="1" applyFont="1" applyFill="1" applyAlignment="1">
      <alignment vertical="center"/>
    </xf>
    <xf numFmtId="0" fontId="5" fillId="2" borderId="0" xfId="0" applyFont="1" applyFill="1" applyAlignment="1">
      <alignment vertical="center"/>
    </xf>
    <xf numFmtId="0" fontId="4" fillId="9" borderId="4" xfId="0" applyFont="1" applyFill="1" applyBorder="1" applyAlignment="1">
      <alignment horizontal="left" vertical="center"/>
    </xf>
    <xf numFmtId="174" fontId="5" fillId="2" borderId="0" xfId="52" applyNumberFormat="1" applyFont="1" applyFill="1" applyAlignment="1">
      <alignment vertical="center"/>
    </xf>
    <xf numFmtId="0" fontId="4" fillId="9" borderId="8" xfId="0" applyFont="1" applyFill="1" applyBorder="1" applyAlignment="1">
      <alignment vertical="center"/>
    </xf>
    <xf numFmtId="0" fontId="4" fillId="9" borderId="16" xfId="0" applyFont="1" applyFill="1" applyBorder="1" applyAlignment="1">
      <alignment vertical="center"/>
    </xf>
    <xf numFmtId="0" fontId="3" fillId="9" borderId="16" xfId="0" applyFont="1" applyFill="1" applyBorder="1" applyAlignment="1">
      <alignment vertical="center"/>
    </xf>
    <xf numFmtId="0" fontId="4" fillId="9" borderId="17" xfId="0" applyFont="1" applyFill="1" applyBorder="1" applyAlignment="1">
      <alignment vertical="center"/>
    </xf>
    <xf numFmtId="0" fontId="3" fillId="2" borderId="0" xfId="0" applyFont="1" applyFill="1" applyAlignment="1">
      <alignment vertical="center"/>
    </xf>
    <xf numFmtId="9" fontId="4" fillId="2" borderId="0" xfId="53" applyFont="1" applyFill="1" applyAlignment="1">
      <alignment vertical="center"/>
    </xf>
    <xf numFmtId="0" fontId="27" fillId="2" borderId="0" xfId="0" applyFont="1" applyFill="1" applyAlignment="1" applyProtection="1">
      <alignment vertical="center"/>
      <protection hidden="1"/>
    </xf>
    <xf numFmtId="0" fontId="28" fillId="9" borderId="14" xfId="0" applyFont="1" applyFill="1" applyBorder="1" applyAlignment="1">
      <alignment vertical="center"/>
    </xf>
    <xf numFmtId="0" fontId="28" fillId="9" borderId="0" xfId="0" applyFont="1" applyFill="1" applyBorder="1" applyAlignment="1">
      <alignment vertical="center"/>
    </xf>
    <xf numFmtId="3" fontId="29" fillId="2" borderId="20" xfId="0" applyNumberFormat="1" applyFont="1" applyFill="1" applyBorder="1" applyAlignment="1">
      <alignment horizontal="center" vertical="center"/>
    </xf>
    <xf numFmtId="0" fontId="29" fillId="2" borderId="21" xfId="0" applyFont="1" applyFill="1" applyBorder="1" applyAlignment="1">
      <alignment horizontal="left" vertical="center"/>
    </xf>
    <xf numFmtId="3" fontId="29" fillId="2" borderId="23" xfId="0" applyNumberFormat="1" applyFont="1" applyFill="1" applyBorder="1" applyAlignment="1">
      <alignment horizontal="center" vertical="center"/>
    </xf>
    <xf numFmtId="0" fontId="29" fillId="2" borderId="24" xfId="0" applyFont="1" applyFill="1" applyBorder="1" applyAlignment="1">
      <alignment horizontal="left" vertical="center"/>
    </xf>
    <xf numFmtId="0" fontId="29" fillId="2" borderId="23" xfId="0" applyFont="1" applyFill="1" applyBorder="1" applyAlignment="1">
      <alignment horizontal="center" vertical="center"/>
    </xf>
    <xf numFmtId="0" fontId="29" fillId="2" borderId="32" xfId="0" applyFont="1" applyFill="1" applyBorder="1" applyAlignment="1">
      <alignment horizontal="center" vertical="center"/>
    </xf>
    <xf numFmtId="0" fontId="29" fillId="9" borderId="16" xfId="0" applyFont="1" applyFill="1" applyBorder="1" applyAlignment="1">
      <alignment vertical="center"/>
    </xf>
    <xf numFmtId="0" fontId="29" fillId="9" borderId="0" xfId="0" applyFont="1" applyFill="1" applyBorder="1" applyAlignment="1">
      <alignment vertical="center"/>
    </xf>
    <xf numFmtId="3" fontId="29" fillId="0" borderId="23" xfId="0" applyNumberFormat="1" applyFont="1" applyBorder="1" applyAlignment="1" applyProtection="1">
      <alignment vertical="center"/>
      <protection hidden="1"/>
    </xf>
    <xf numFmtId="0" fontId="29" fillId="2" borderId="24" xfId="0" applyFont="1" applyFill="1" applyBorder="1" applyAlignment="1">
      <alignment vertical="center"/>
    </xf>
    <xf numFmtId="165" fontId="29" fillId="2" borderId="23" xfId="0" applyNumberFormat="1" applyFont="1" applyFill="1" applyBorder="1" applyAlignment="1" applyProtection="1">
      <alignment vertical="center"/>
      <protection hidden="1"/>
    </xf>
    <xf numFmtId="0" fontId="29" fillId="9" borderId="14" xfId="0" applyFont="1" applyFill="1" applyBorder="1" applyAlignment="1">
      <alignment vertical="center"/>
    </xf>
    <xf numFmtId="3" fontId="30" fillId="2" borderId="20" xfId="0" applyNumberFormat="1" applyFont="1" applyFill="1" applyBorder="1" applyAlignment="1" applyProtection="1">
      <alignment vertical="center"/>
      <protection hidden="1"/>
    </xf>
    <xf numFmtId="0" fontId="30" fillId="2" borderId="21" xfId="0" applyFont="1" applyFill="1" applyBorder="1" applyAlignment="1">
      <alignment vertical="center"/>
    </xf>
    <xf numFmtId="175" fontId="30" fillId="2" borderId="23" xfId="0" applyNumberFormat="1" applyFont="1" applyFill="1" applyBorder="1" applyAlignment="1" applyProtection="1">
      <alignment vertical="center"/>
      <protection hidden="1"/>
    </xf>
    <xf numFmtId="0" fontId="30" fillId="2" borderId="24" xfId="0" applyFont="1" applyFill="1" applyBorder="1" applyAlignment="1">
      <alignment vertical="center"/>
    </xf>
    <xf numFmtId="168" fontId="30" fillId="2" borderId="32" xfId="0" applyNumberFormat="1" applyFont="1" applyFill="1" applyBorder="1" applyAlignment="1" applyProtection="1">
      <alignment vertical="center"/>
      <protection hidden="1"/>
    </xf>
    <xf numFmtId="0" fontId="30" fillId="2" borderId="33" xfId="0" applyFont="1" applyFill="1" applyBorder="1" applyAlignment="1">
      <alignment vertical="center"/>
    </xf>
    <xf numFmtId="0" fontId="1" fillId="2" borderId="11" xfId="2" applyFill="1" applyBorder="1"/>
    <xf numFmtId="0" fontId="1" fillId="2" borderId="14" xfId="2" applyFill="1" applyBorder="1"/>
    <xf numFmtId="0" fontId="1" fillId="2" borderId="15" xfId="2" applyFill="1" applyBorder="1"/>
    <xf numFmtId="0" fontId="1" fillId="2" borderId="4" xfId="2" applyFill="1" applyBorder="1"/>
    <xf numFmtId="0" fontId="1" fillId="2" borderId="0" xfId="2" applyFill="1" applyBorder="1"/>
    <xf numFmtId="0" fontId="1" fillId="2" borderId="6" xfId="2" applyFill="1" applyBorder="1"/>
    <xf numFmtId="0" fontId="1" fillId="9" borderId="11" xfId="2" applyFill="1" applyBorder="1"/>
    <xf numFmtId="0" fontId="1" fillId="9" borderId="14" xfId="2" applyFill="1" applyBorder="1"/>
    <xf numFmtId="0" fontId="1" fillId="9" borderId="15" xfId="2" applyFill="1" applyBorder="1"/>
    <xf numFmtId="0" fontId="1" fillId="9" borderId="4" xfId="2" applyFill="1" applyBorder="1"/>
    <xf numFmtId="0" fontId="1" fillId="9" borderId="6" xfId="2" applyFill="1" applyBorder="1"/>
    <xf numFmtId="0" fontId="1" fillId="9" borderId="8" xfId="2" applyFill="1" applyBorder="1"/>
    <xf numFmtId="0" fontId="1" fillId="9" borderId="16" xfId="2" applyFill="1" applyBorder="1"/>
    <xf numFmtId="0" fontId="1" fillId="9" borderId="17" xfId="2" applyFill="1" applyBorder="1"/>
    <xf numFmtId="0" fontId="31" fillId="2" borderId="0" xfId="0" applyFont="1" applyFill="1" applyBorder="1" applyAlignment="1" applyProtection="1">
      <alignment vertical="center"/>
    </xf>
    <xf numFmtId="43" fontId="0" fillId="0" borderId="0" xfId="0" applyNumberFormat="1"/>
    <xf numFmtId="0" fontId="32" fillId="0" borderId="38" xfId="31" applyFont="1" applyFill="1" applyBorder="1" applyAlignment="1">
      <alignment horizontal="center" vertical="center"/>
    </xf>
    <xf numFmtId="0" fontId="32" fillId="0" borderId="0" xfId="31" applyFont="1" applyFill="1" applyAlignment="1">
      <alignment horizontal="center" vertical="center"/>
    </xf>
    <xf numFmtId="0" fontId="32" fillId="0" borderId="39" xfId="31" applyFont="1" applyFill="1" applyBorder="1" applyAlignment="1">
      <alignment horizontal="center" vertical="center"/>
    </xf>
    <xf numFmtId="0" fontId="32" fillId="0" borderId="40" xfId="31" applyFont="1" applyFill="1" applyBorder="1" applyAlignment="1">
      <alignment horizontal="center" vertical="center"/>
    </xf>
    <xf numFmtId="0" fontId="1" fillId="0" borderId="0" xfId="31" applyFont="1" applyFill="1" applyAlignment="1">
      <alignment vertical="center"/>
    </xf>
    <xf numFmtId="0" fontId="2" fillId="0" borderId="0" xfId="31" applyFont="1" applyFill="1"/>
    <xf numFmtId="0" fontId="8" fillId="0" borderId="41" xfId="31" applyFont="1" applyFill="1" applyBorder="1" applyAlignment="1">
      <alignment horizontal="right"/>
    </xf>
    <xf numFmtId="0" fontId="8" fillId="0" borderId="42" xfId="31" applyFont="1" applyFill="1" applyBorder="1" applyAlignment="1">
      <alignment horizontal="right"/>
    </xf>
    <xf numFmtId="0" fontId="8" fillId="0" borderId="43" xfId="31" applyFont="1" applyFill="1" applyBorder="1" applyAlignment="1">
      <alignment horizontal="right"/>
    </xf>
    <xf numFmtId="0" fontId="34" fillId="0" borderId="0" xfId="31" applyFont="1" applyFill="1" applyAlignment="1">
      <alignment vertical="center" wrapText="1"/>
    </xf>
    <xf numFmtId="0" fontId="1" fillId="0" borderId="0" xfId="31" applyFont="1" applyFill="1"/>
    <xf numFmtId="0" fontId="8" fillId="0" borderId="44" xfId="31" applyFont="1" applyFill="1" applyBorder="1" applyAlignment="1">
      <alignment horizontal="right"/>
    </xf>
    <xf numFmtId="0" fontId="8" fillId="0" borderId="45" xfId="31" applyFont="1" applyFill="1" applyBorder="1" applyAlignment="1">
      <alignment horizontal="right"/>
    </xf>
    <xf numFmtId="0" fontId="8" fillId="0" borderId="46" xfId="31" applyFont="1" applyFill="1" applyBorder="1" applyAlignment="1">
      <alignment horizontal="right"/>
    </xf>
    <xf numFmtId="0" fontId="8" fillId="0" borderId="47" xfId="31" applyFont="1" applyFill="1" applyBorder="1" applyAlignment="1">
      <alignment horizontal="right"/>
    </xf>
    <xf numFmtId="177" fontId="0" fillId="0" borderId="0" xfId="52" applyNumberFormat="1" applyFont="1"/>
    <xf numFmtId="0" fontId="35" fillId="0" borderId="0" xfId="0" applyFont="1"/>
    <xf numFmtId="176" fontId="0" fillId="0" borderId="0" xfId="0" applyNumberFormat="1"/>
    <xf numFmtId="174" fontId="0" fillId="0" borderId="0" xfId="52" applyNumberFormat="1" applyFont="1"/>
    <xf numFmtId="1" fontId="0" fillId="0" borderId="0" xfId="0" applyNumberFormat="1"/>
    <xf numFmtId="9" fontId="0" fillId="0" borderId="0" xfId="53" applyFont="1"/>
    <xf numFmtId="0" fontId="29" fillId="0" borderId="21" xfId="0" applyFont="1" applyBorder="1" applyAlignment="1">
      <alignment vertical="center"/>
    </xf>
    <xf numFmtId="0" fontId="29" fillId="0" borderId="24" xfId="0" applyFont="1" applyBorder="1" applyAlignment="1">
      <alignment vertical="center"/>
    </xf>
    <xf numFmtId="168" fontId="29" fillId="0" borderId="20" xfId="53" applyNumberFormat="1" applyFont="1" applyBorder="1" applyAlignment="1" applyProtection="1">
      <alignment vertical="center"/>
      <protection hidden="1"/>
    </xf>
    <xf numFmtId="43" fontId="0" fillId="0" borderId="0" xfId="52" applyFont="1"/>
    <xf numFmtId="168" fontId="29" fillId="0" borderId="32" xfId="52" applyNumberFormat="1" applyFont="1" applyBorder="1"/>
    <xf numFmtId="0" fontId="29" fillId="0" borderId="33" xfId="0" applyFont="1" applyBorder="1" applyAlignment="1">
      <alignment vertical="center"/>
    </xf>
    <xf numFmtId="0" fontId="25" fillId="2" borderId="15"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8" fillId="2" borderId="1" xfId="0" applyFont="1" applyFill="1" applyBorder="1" applyAlignment="1">
      <alignment horizontal="center" vertical="center"/>
    </xf>
    <xf numFmtId="0" fontId="28" fillId="2" borderId="18" xfId="0" applyFont="1" applyFill="1" applyBorder="1" applyAlignment="1">
      <alignment horizontal="center" vertical="center"/>
    </xf>
    <xf numFmtId="0" fontId="28" fillId="2" borderId="3" xfId="0" applyFont="1" applyFill="1" applyBorder="1" applyAlignment="1">
      <alignment horizontal="center" vertical="center"/>
    </xf>
    <xf numFmtId="0" fontId="29" fillId="2" borderId="22" xfId="0" applyFont="1" applyFill="1" applyBorder="1" applyAlignment="1">
      <alignment horizontal="left" vertical="center" indent="4"/>
    </xf>
    <xf numFmtId="0" fontId="29" fillId="2" borderId="23" xfId="0" applyFont="1" applyFill="1" applyBorder="1" applyAlignment="1">
      <alignment horizontal="left" vertical="center" indent="4"/>
    </xf>
    <xf numFmtId="0" fontId="30" fillId="2" borderId="19" xfId="0" applyFont="1" applyFill="1" applyBorder="1" applyAlignment="1">
      <alignment horizontal="left" vertical="center" indent="4"/>
    </xf>
    <xf numFmtId="0" fontId="30" fillId="2" borderId="20" xfId="0" applyFont="1" applyFill="1" applyBorder="1" applyAlignment="1">
      <alignment horizontal="left" vertical="center" indent="4"/>
    </xf>
    <xf numFmtId="0" fontId="29" fillId="2" borderId="31" xfId="0" applyFont="1" applyFill="1" applyBorder="1" applyAlignment="1">
      <alignment horizontal="left" vertical="center" indent="4"/>
    </xf>
    <xf numFmtId="0" fontId="29" fillId="2" borderId="32" xfId="0" applyFont="1" applyFill="1" applyBorder="1" applyAlignment="1">
      <alignment horizontal="left" vertical="center" indent="4"/>
    </xf>
    <xf numFmtId="0" fontId="30" fillId="2" borderId="1" xfId="0" applyFont="1" applyFill="1" applyBorder="1" applyAlignment="1">
      <alignment horizontal="center" vertical="center"/>
    </xf>
    <xf numFmtId="0" fontId="30" fillId="2" borderId="18" xfId="0" applyFont="1" applyFill="1" applyBorder="1" applyAlignment="1">
      <alignment horizontal="center" vertical="center"/>
    </xf>
    <xf numFmtId="0" fontId="30" fillId="2" borderId="3" xfId="0" applyFont="1" applyFill="1" applyBorder="1" applyAlignment="1">
      <alignment horizontal="center" vertical="center"/>
    </xf>
    <xf numFmtId="0" fontId="1" fillId="2" borderId="19" xfId="0" applyFont="1" applyFill="1" applyBorder="1" applyAlignment="1">
      <alignment horizontal="left" vertical="center" indent="4"/>
    </xf>
    <xf numFmtId="0" fontId="1" fillId="2" borderId="20" xfId="0" applyFont="1" applyFill="1" applyBorder="1" applyAlignment="1">
      <alignment horizontal="left" vertical="center" indent="4"/>
    </xf>
    <xf numFmtId="0" fontId="1" fillId="2" borderId="22" xfId="0" applyFont="1" applyFill="1" applyBorder="1" applyAlignment="1">
      <alignment horizontal="left" vertical="center" indent="4"/>
    </xf>
    <xf numFmtId="0" fontId="1" fillId="2" borderId="23" xfId="0" applyFont="1" applyFill="1" applyBorder="1" applyAlignment="1">
      <alignment horizontal="left" vertical="center" indent="4"/>
    </xf>
    <xf numFmtId="9" fontId="29" fillId="2" borderId="36" xfId="53" applyFont="1" applyFill="1" applyBorder="1" applyAlignment="1">
      <alignment horizontal="center" vertical="center"/>
    </xf>
    <xf numFmtId="9" fontId="29" fillId="2" borderId="37" xfId="53" applyFont="1" applyFill="1" applyBorder="1" applyAlignment="1">
      <alignment horizontal="center" vertical="center"/>
    </xf>
    <xf numFmtId="9" fontId="29" fillId="2" borderId="36" xfId="0" applyNumberFormat="1" applyFont="1" applyFill="1" applyBorder="1" applyAlignment="1">
      <alignment horizontal="center" vertical="center"/>
    </xf>
    <xf numFmtId="9" fontId="29" fillId="2" borderId="37" xfId="0" applyNumberFormat="1" applyFont="1" applyFill="1" applyBorder="1" applyAlignment="1">
      <alignment horizontal="center" vertical="center"/>
    </xf>
    <xf numFmtId="0" fontId="30" fillId="2" borderId="31" xfId="0" applyFont="1" applyFill="1" applyBorder="1" applyAlignment="1">
      <alignment horizontal="left" vertical="center" indent="4"/>
    </xf>
    <xf numFmtId="0" fontId="30" fillId="2" borderId="32" xfId="0" applyFont="1" applyFill="1" applyBorder="1" applyAlignment="1">
      <alignment horizontal="left" vertical="center" indent="4"/>
    </xf>
    <xf numFmtId="166" fontId="30" fillId="2" borderId="36" xfId="0" applyNumberFormat="1" applyFont="1" applyFill="1" applyBorder="1" applyAlignment="1" applyProtection="1">
      <alignment horizontal="center" vertical="center"/>
      <protection hidden="1"/>
    </xf>
    <xf numFmtId="166" fontId="30" fillId="2" borderId="37" xfId="0" applyNumberFormat="1" applyFont="1" applyFill="1" applyBorder="1" applyAlignment="1" applyProtection="1">
      <alignment horizontal="center" vertical="center"/>
      <protection hidden="1"/>
    </xf>
    <xf numFmtId="166" fontId="30" fillId="2" borderId="36" xfId="0" applyNumberFormat="1" applyFont="1" applyFill="1" applyBorder="1" applyAlignment="1">
      <alignment horizontal="center" vertical="center"/>
    </xf>
    <xf numFmtId="166" fontId="30" fillId="2" borderId="37" xfId="0" applyNumberFormat="1" applyFont="1" applyFill="1" applyBorder="1" applyAlignment="1">
      <alignment horizontal="center" vertical="center"/>
    </xf>
    <xf numFmtId="0" fontId="30" fillId="2" borderId="22" xfId="0" applyFont="1" applyFill="1" applyBorder="1" applyAlignment="1">
      <alignment horizontal="left" vertical="center" indent="4"/>
    </xf>
    <xf numFmtId="0" fontId="30" fillId="2" borderId="23" xfId="0" applyFont="1" applyFill="1" applyBorder="1" applyAlignment="1">
      <alignment horizontal="left" vertical="center" indent="4"/>
    </xf>
    <xf numFmtId="0" fontId="29" fillId="2" borderId="19" xfId="0" applyFont="1" applyFill="1" applyBorder="1" applyAlignment="1">
      <alignment horizontal="left" vertical="center" indent="4"/>
    </xf>
    <xf numFmtId="0" fontId="29" fillId="2" borderId="20" xfId="0" applyFont="1" applyFill="1" applyBorder="1" applyAlignment="1">
      <alignment horizontal="left" vertical="center" indent="4"/>
    </xf>
    <xf numFmtId="0" fontId="36" fillId="2" borderId="11" xfId="0" applyFont="1" applyFill="1" applyBorder="1" applyAlignment="1">
      <alignment horizontal="center" vertical="center" wrapText="1"/>
    </xf>
  </cellXfs>
  <cellStyles count="54">
    <cellStyle name="_x0010_“+ˆÉ•?pý¤" xfId="3"/>
    <cellStyle name="Actual Date" xfId="4"/>
    <cellStyle name="Comma" xfId="52" builtinId="3"/>
    <cellStyle name="Comma 2" xfId="5"/>
    <cellStyle name="Comma 2 106" xfId="6"/>
    <cellStyle name="Comma 2 2" xfId="7"/>
    <cellStyle name="Comma 2 3" xfId="8"/>
    <cellStyle name="Comma 3" xfId="9"/>
    <cellStyle name="Comma 4" xfId="10"/>
    <cellStyle name="Comma 5" xfId="11"/>
    <cellStyle name="Comma0" xfId="12"/>
    <cellStyle name="Currency 2" xfId="13"/>
    <cellStyle name="Currency 3" xfId="14"/>
    <cellStyle name="Date" xfId="15"/>
    <cellStyle name="Fixed" xfId="16"/>
    <cellStyle name="Grey" xfId="17"/>
    <cellStyle name="HEADER" xfId="18"/>
    <cellStyle name="Heading1" xfId="19"/>
    <cellStyle name="Heading2" xfId="20"/>
    <cellStyle name="HIGHLIGHT" xfId="21"/>
    <cellStyle name="Input [yellow]" xfId="22"/>
    <cellStyle name="no dec" xfId="23"/>
    <cellStyle name="Normal" xfId="0" builtinId="0"/>
    <cellStyle name="Normal - Style1" xfId="24"/>
    <cellStyle name="Normal 10" xfId="25"/>
    <cellStyle name="Normal 11" xfId="26"/>
    <cellStyle name="Normal 12" xfId="27"/>
    <cellStyle name="Normal 13" xfId="28"/>
    <cellStyle name="Normal 14" xfId="29"/>
    <cellStyle name="Normal 15" xfId="30"/>
    <cellStyle name="Normal 15 2" xfId="31"/>
    <cellStyle name="Normal 16" xfId="32"/>
    <cellStyle name="Normal 2" xfId="1"/>
    <cellStyle name="Normal 2 2" xfId="33"/>
    <cellStyle name="Normal 2 3" xfId="34"/>
    <cellStyle name="Normal 2 4" xfId="35"/>
    <cellStyle name="Normal 3" xfId="2"/>
    <cellStyle name="Normal 4" xfId="36"/>
    <cellStyle name="Normal 4 26" xfId="37"/>
    <cellStyle name="Normal 5" xfId="38"/>
    <cellStyle name="Normal 6" xfId="39"/>
    <cellStyle name="Normal 7" xfId="40"/>
    <cellStyle name="Normal 8" xfId="41"/>
    <cellStyle name="Normal 9" xfId="42"/>
    <cellStyle name="Percent" xfId="53" builtinId="5"/>
    <cellStyle name="Percent [2]" xfId="43"/>
    <cellStyle name="Percent 2" xfId="44"/>
    <cellStyle name="Percent 2 2" xfId="45"/>
    <cellStyle name="Percent 2 3" xfId="46"/>
    <cellStyle name="Percent 3" xfId="47"/>
    <cellStyle name="Percent 4" xfId="48"/>
    <cellStyle name="Unprot" xfId="49"/>
    <cellStyle name="Unprot$" xfId="50"/>
    <cellStyle name="Unprotect" xfId="51"/>
  </cellStyles>
  <dxfs count="10">
    <dxf>
      <font>
        <color rgb="FFFF0000"/>
      </font>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s>
  <tableStyles count="0" defaultTableStyle="TableStyleMedium2" defaultPivotStyle="PivotStyleLight16"/>
  <colors>
    <mruColors>
      <color rgb="FF005596"/>
      <color rgb="FF00953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38100</xdr:colOff>
      <xdr:row>2</xdr:row>
      <xdr:rowOff>47626</xdr:rowOff>
    </xdr:from>
    <xdr:ext cx="10211197" cy="4476750"/>
    <xdr:sp macro="" textlink="">
      <xdr:nvSpPr>
        <xdr:cNvPr id="2" name="TextBox 1"/>
        <xdr:cNvSpPr txBox="1"/>
      </xdr:nvSpPr>
      <xdr:spPr>
        <a:xfrm>
          <a:off x="325834" y="295673"/>
          <a:ext cx="10211197" cy="447675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r>
            <a:rPr lang="en-US" sz="1600" b="1" u="none">
              <a:solidFill>
                <a:srgbClr val="005596"/>
              </a:solidFill>
              <a:latin typeface="Arial" pitchFamily="34" charset="0"/>
              <a:cs typeface="Arial" pitchFamily="34" charset="0"/>
            </a:rPr>
            <a:t>Custom Incentives</a:t>
          </a:r>
          <a:r>
            <a:rPr lang="en-US" sz="1600" b="1" u="none" baseline="0">
              <a:solidFill>
                <a:srgbClr val="005596"/>
              </a:solidFill>
              <a:latin typeface="Arial" pitchFamily="34" charset="0"/>
              <a:cs typeface="Arial" pitchFamily="34" charset="0"/>
            </a:rPr>
            <a:t>: </a:t>
          </a:r>
          <a:r>
            <a:rPr lang="en-US" sz="1600" b="1" u="none">
              <a:solidFill>
                <a:srgbClr val="005596"/>
              </a:solidFill>
              <a:latin typeface="Arial" pitchFamily="34" charset="0"/>
              <a:cs typeface="Arial" pitchFamily="34" charset="0"/>
            </a:rPr>
            <a:t>Stack Economizer </a:t>
          </a:r>
          <a:r>
            <a:rPr lang="en-US" sz="1600" b="1" u="none" baseline="0">
              <a:solidFill>
                <a:srgbClr val="005596"/>
              </a:solidFill>
              <a:latin typeface="Arial" pitchFamily="34" charset="0"/>
              <a:cs typeface="Arial" pitchFamily="34" charset="0"/>
            </a:rPr>
            <a:t>Calculator</a:t>
          </a:r>
        </a:p>
        <a:p>
          <a:pPr algn="ctr"/>
          <a:endParaRPr lang="en-US" sz="1100" u="sng" baseline="0">
            <a:latin typeface="Arial" pitchFamily="34" charset="0"/>
            <a:cs typeface="Arial" pitchFamily="34" charset="0"/>
          </a:endParaRPr>
        </a:p>
        <a:p>
          <a:pPr algn="l"/>
          <a:r>
            <a:rPr lang="en-US" sz="1100" baseline="0">
              <a:solidFill>
                <a:schemeClr val="dk1"/>
              </a:solidFill>
              <a:effectLst/>
              <a:latin typeface="Arial" pitchFamily="34" charset="0"/>
              <a:ea typeface="+mn-ea"/>
              <a:cs typeface="Arial" pitchFamily="34" charset="0"/>
            </a:rPr>
            <a:t>Welcome. This document has been prepared by CLEAResult. </a:t>
          </a:r>
        </a:p>
        <a:p>
          <a:pPr algn="l"/>
          <a:r>
            <a:rPr lang="en-US" sz="1100" u="none" baseline="0">
              <a:latin typeface="Arial" pitchFamily="34" charset="0"/>
              <a:cs typeface="Arial" pitchFamily="34" charset="0"/>
            </a:rPr>
            <a:t>The purposes of the calculator is to assist with estimating the proposed therm savings for a flue stack economizer. </a:t>
          </a:r>
        </a:p>
        <a:p>
          <a:pPr marL="0" marR="0" indent="0" algn="l" defTabSz="914400" eaLnBrk="1" fontAlgn="auto" latinLnBrk="0" hangingPunct="1">
            <a:lnSpc>
              <a:spcPct val="100000"/>
            </a:lnSpc>
            <a:spcBef>
              <a:spcPts val="0"/>
            </a:spcBef>
            <a:spcAft>
              <a:spcPts val="0"/>
            </a:spcAft>
            <a:buClrTx/>
            <a:buSzTx/>
            <a:buFontTx/>
            <a:buNone/>
            <a:tabLst/>
            <a:defRPr/>
          </a:pPr>
          <a:r>
            <a:rPr lang="en-US" sz="1100" u="none" baseline="0">
              <a:latin typeface="Arial" pitchFamily="34" charset="0"/>
              <a:cs typeface="Arial" pitchFamily="34" charset="0"/>
            </a:rPr>
            <a:t>Please note the use of the word estimate as true savings will be evaluated after post installation M&amp;V. </a:t>
          </a:r>
        </a:p>
        <a:p>
          <a:pPr marL="0" marR="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Arial" pitchFamily="34" charset="0"/>
              <a:ea typeface="+mn-ea"/>
              <a:cs typeface="Arial" pitchFamily="34" charset="0"/>
            </a:rPr>
            <a:t>The following steps outline the proper use of this form.</a:t>
          </a:r>
          <a:endParaRPr lang="en-US" sz="1100" u="none" baseline="0">
            <a:latin typeface="Arial" pitchFamily="34" charset="0"/>
            <a:cs typeface="Arial" pitchFamily="34" charset="0"/>
          </a:endParaRPr>
        </a:p>
        <a:p>
          <a:endParaRPr lang="en-US" sz="1100" baseline="0">
            <a:latin typeface="Arial" pitchFamily="34" charset="0"/>
            <a:cs typeface="Arial" pitchFamily="34" charset="0"/>
          </a:endParaRPr>
        </a:p>
        <a:p>
          <a:r>
            <a:rPr lang="en-US" sz="1100" b="1" baseline="0">
              <a:latin typeface="Arial" pitchFamily="34" charset="0"/>
              <a:cs typeface="Arial" pitchFamily="34" charset="0"/>
            </a:rPr>
            <a:t>1. </a:t>
          </a:r>
          <a:r>
            <a:rPr lang="en-US" sz="1100" baseline="0">
              <a:latin typeface="Arial" pitchFamily="34" charset="0"/>
              <a:cs typeface="Arial" pitchFamily="34" charset="0"/>
            </a:rPr>
            <a:t>Enter all initial parameters on the "Flue Stack Economizer" tab. The necessary items are highlighted in </a:t>
          </a:r>
          <a:r>
            <a:rPr lang="en-US" sz="1100" baseline="0">
              <a:solidFill>
                <a:srgbClr val="005596"/>
              </a:solidFill>
              <a:latin typeface="Arial" pitchFamily="34" charset="0"/>
              <a:cs typeface="Arial" pitchFamily="34" charset="0"/>
            </a:rPr>
            <a:t>Blue</a:t>
          </a:r>
          <a:r>
            <a:rPr lang="en-US" sz="1100" baseline="0">
              <a:solidFill>
                <a:sysClr val="windowText" lastClr="000000"/>
              </a:solidFill>
              <a:latin typeface="Arial" pitchFamily="34" charset="0"/>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Arial" pitchFamily="34" charset="0"/>
              <a:ea typeface="+mn-ea"/>
              <a:cs typeface="Arial" pitchFamily="34" charset="0"/>
            </a:rPr>
            <a:t>2. </a:t>
          </a:r>
          <a:r>
            <a:rPr lang="en-US" sz="1100" baseline="0">
              <a:solidFill>
                <a:schemeClr val="dk1"/>
              </a:solidFill>
              <a:effectLst/>
              <a:latin typeface="Arial" pitchFamily="34" charset="0"/>
              <a:ea typeface="+mn-ea"/>
              <a:cs typeface="Arial" pitchFamily="34" charset="0"/>
            </a:rPr>
            <a:t>All required fields must be filled in for savings to be properly displayed.</a:t>
          </a:r>
          <a:endParaRPr lang="en-US">
            <a:effectLst/>
            <a:latin typeface="Arial" pitchFamily="34" charset="0"/>
            <a:cs typeface="Arial" pitchFamily="34" charset="0"/>
          </a:endParaRPr>
        </a:p>
        <a:p>
          <a:r>
            <a:rPr lang="en-US" sz="1100" b="1" baseline="0">
              <a:solidFill>
                <a:sysClr val="windowText" lastClr="000000"/>
              </a:solidFill>
              <a:latin typeface="Arial" pitchFamily="34" charset="0"/>
              <a:cs typeface="Arial" pitchFamily="34" charset="0"/>
            </a:rPr>
            <a:t>3. </a:t>
          </a:r>
          <a:r>
            <a:rPr lang="en-US" sz="1100" b="0" baseline="0">
              <a:solidFill>
                <a:sysClr val="windowText" lastClr="000000"/>
              </a:solidFill>
              <a:latin typeface="Arial" pitchFamily="34" charset="0"/>
              <a:cs typeface="Arial" pitchFamily="34" charset="0"/>
            </a:rPr>
            <a:t>Ensure that upon completion of the calculation, no warnings appear on the screen.</a:t>
          </a:r>
        </a:p>
        <a:p>
          <a:r>
            <a:rPr lang="en-US" sz="1100" b="1" baseline="0">
              <a:solidFill>
                <a:sysClr val="windowText" lastClr="000000"/>
              </a:solidFill>
              <a:latin typeface="Arial" pitchFamily="34" charset="0"/>
              <a:cs typeface="Arial" pitchFamily="34" charset="0"/>
            </a:rPr>
            <a:t>4. </a:t>
          </a:r>
          <a:r>
            <a:rPr lang="en-US" sz="1100" b="0" baseline="0">
              <a:solidFill>
                <a:sysClr val="windowText" lastClr="000000"/>
              </a:solidFill>
              <a:latin typeface="Arial" pitchFamily="34" charset="0"/>
              <a:cs typeface="Arial" pitchFamily="34" charset="0"/>
            </a:rPr>
            <a:t>For technical support on this tool contract Jeremy Selwyn: Jeremy.Selwyn@CLEAResult.com</a:t>
          </a:r>
          <a:endParaRPr lang="en-US" sz="1100" b="1" baseline="0">
            <a:solidFill>
              <a:sysClr val="windowText" lastClr="000000"/>
            </a:solidFill>
            <a:latin typeface="Arial" pitchFamily="34" charset="0"/>
            <a:cs typeface="Arial" pitchFamily="34" charset="0"/>
          </a:endParaRPr>
        </a:p>
        <a:p>
          <a:endParaRPr lang="en-US" sz="1100" b="1" baseline="0">
            <a:solidFill>
              <a:sysClr val="windowText" lastClr="000000"/>
            </a:solidFill>
            <a:latin typeface="Arial" pitchFamily="34" charset="0"/>
            <a:cs typeface="Arial" pitchFamily="34" charset="0"/>
          </a:endParaRPr>
        </a:p>
        <a:p>
          <a:r>
            <a:rPr lang="en-US" sz="1100" baseline="0">
              <a:solidFill>
                <a:sysClr val="windowText" lastClr="000000"/>
              </a:solidFill>
              <a:latin typeface="Arial" pitchFamily="34" charset="0"/>
              <a:cs typeface="Arial" pitchFamily="34" charset="0"/>
            </a:rPr>
            <a:t>Currently, this spreadsheet calculates the savings from installing an stack exhaust-to-water heat exchanger only. The spreadsheet does not calculate savings for condensing economizers. For applications involving thermal oil, condensing economizing, or other parameters not specified, please contact the program. </a:t>
          </a:r>
        </a:p>
        <a:p>
          <a:endParaRPr lang="en-US" sz="1100" b="0" i="0" u="none" strike="noStrike" baseline="0" smtClean="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1" u="none" strike="noStrike" baseline="0" smtClean="0">
              <a:solidFill>
                <a:schemeClr val="dk1"/>
              </a:solidFill>
              <a:latin typeface="Arial" pitchFamily="34" charset="0"/>
              <a:ea typeface="+mn-ea"/>
              <a:cs typeface="Arial" pitchFamily="34" charset="0"/>
            </a:rPr>
            <a:t>Please Note: </a:t>
          </a:r>
          <a:r>
            <a:rPr lang="en-US" sz="1100" i="1" baseline="0">
              <a:solidFill>
                <a:schemeClr val="dk1"/>
              </a:solidFill>
              <a:effectLst/>
              <a:latin typeface="Arial" pitchFamily="34" charset="0"/>
              <a:ea typeface="+mn-ea"/>
              <a:cs typeface="Arial" pitchFamily="34" charset="0"/>
            </a:rPr>
            <a:t>This calculator is used for estimating savings and does not guarantee the estimated incentive. The methodology presented in this calculator is deemed acceptable for the Nicor Gas Business Custom Program. However, the</a:t>
          </a:r>
          <a:r>
            <a:rPr lang="en-US" sz="1100" b="0" i="1" u="none" strike="noStrike" baseline="0" smtClean="0">
              <a:solidFill>
                <a:schemeClr val="dk1"/>
              </a:solidFill>
              <a:latin typeface="Arial" pitchFamily="34" charset="0"/>
              <a:ea typeface="+mn-ea"/>
              <a:cs typeface="Arial" pitchFamily="34" charset="0"/>
            </a:rPr>
            <a:t> assumptions used by the applicant to calculate the annual savings will be reviewed by the Business Custom Incentive Program, which is solely responsible for the final determination of the annual energy savings to be used in calculating the incentive amount. The Program also reserves the right to require the applicant to conduct specific measurement and verification activities, including monitoring both before and after the retrofit, and to base the incentive payment on the results of these activities.	</a:t>
          </a:r>
        </a:p>
        <a:p>
          <a:endParaRPr lang="en-US" sz="1100" baseline="0">
            <a:solidFill>
              <a:schemeClr val="dk1"/>
            </a:solidFill>
            <a:effectLst/>
            <a:latin typeface="Arial" pitchFamily="34" charset="0"/>
            <a:ea typeface="+mn-ea"/>
            <a:cs typeface="Arial" pitchFamily="34" charset="0"/>
          </a:endParaRPr>
        </a:p>
        <a:p>
          <a:pPr lvl="1"/>
          <a:r>
            <a:rPr lang="en-US" sz="1100" b="1" i="0" u="none" strike="noStrike" baseline="0" smtClean="0">
              <a:solidFill>
                <a:schemeClr val="dk1"/>
              </a:solidFill>
              <a:latin typeface="Arial" pitchFamily="34" charset="0"/>
              <a:ea typeface="+mn-ea"/>
              <a:cs typeface="Arial" pitchFamily="34" charset="0"/>
            </a:rPr>
            <a:t>Email: </a:t>
          </a:r>
          <a:r>
            <a:rPr lang="en-US" sz="1100" b="0" i="0" u="none" strike="noStrike" baseline="0" smtClean="0">
              <a:solidFill>
                <a:schemeClr val="dk1"/>
              </a:solidFill>
              <a:latin typeface="Arial" pitchFamily="34" charset="0"/>
              <a:ea typeface="+mn-ea"/>
              <a:cs typeface="Arial" pitchFamily="34" charset="0"/>
            </a:rPr>
            <a:t>CustomRebates@nicorgasrebates.com</a:t>
          </a:r>
        </a:p>
        <a:p>
          <a:pPr lvl="1"/>
          <a:r>
            <a:rPr lang="en-US" sz="1100" b="1" i="0" u="none" strike="noStrike" baseline="0" smtClean="0">
              <a:solidFill>
                <a:schemeClr val="dk1"/>
              </a:solidFill>
              <a:latin typeface="Arial" pitchFamily="34" charset="0"/>
              <a:ea typeface="+mn-ea"/>
              <a:cs typeface="Arial" pitchFamily="34" charset="0"/>
            </a:rPr>
            <a:t>Fax: </a:t>
          </a:r>
          <a:r>
            <a:rPr lang="en-US" sz="1100" b="0" i="0" u="none" strike="noStrike" baseline="0" smtClean="0">
              <a:solidFill>
                <a:schemeClr val="dk1"/>
              </a:solidFill>
              <a:latin typeface="Arial" pitchFamily="34" charset="0"/>
              <a:ea typeface="+mn-ea"/>
              <a:cs typeface="Arial" pitchFamily="34" charset="0"/>
            </a:rPr>
            <a:t>312.755.9028</a:t>
          </a:r>
        </a:p>
        <a:p>
          <a:pPr lvl="1"/>
          <a:r>
            <a:rPr lang="en-US" sz="1100" b="1" i="0" u="none" strike="noStrike" baseline="0" smtClean="0">
              <a:solidFill>
                <a:schemeClr val="dk1"/>
              </a:solidFill>
              <a:latin typeface="Arial" pitchFamily="34" charset="0"/>
              <a:ea typeface="+mn-ea"/>
              <a:cs typeface="Arial" pitchFamily="34" charset="0"/>
            </a:rPr>
            <a:t>Phone: </a:t>
          </a:r>
          <a:r>
            <a:rPr lang="en-US" sz="1100" b="0" i="0" u="none" strike="noStrike" baseline="0" smtClean="0">
              <a:solidFill>
                <a:schemeClr val="dk1"/>
              </a:solidFill>
              <a:latin typeface="Arial" pitchFamily="34" charset="0"/>
              <a:ea typeface="+mn-ea"/>
              <a:cs typeface="Arial" pitchFamily="34" charset="0"/>
            </a:rPr>
            <a:t>312.344.1520</a:t>
          </a:r>
        </a:p>
        <a:p>
          <a:pPr lvl="1"/>
          <a:r>
            <a:rPr lang="en-US" sz="1100" b="0" i="0" u="none" strike="noStrike" baseline="0" smtClean="0">
              <a:solidFill>
                <a:schemeClr val="dk1"/>
              </a:solidFill>
              <a:latin typeface="Arial" pitchFamily="34" charset="0"/>
              <a:ea typeface="+mn-ea"/>
              <a:cs typeface="Arial" pitchFamily="34" charset="0"/>
            </a:rPr>
            <a:t>Nicor Gas Business Custom Incentive Program</a:t>
          </a:r>
        </a:p>
        <a:p>
          <a:pPr lvl="1"/>
          <a:r>
            <a:rPr lang="en-US" sz="1100" b="0" i="0" u="none" strike="noStrike" baseline="0" smtClean="0">
              <a:solidFill>
                <a:schemeClr val="dk1"/>
              </a:solidFill>
              <a:latin typeface="Arial" pitchFamily="34" charset="0"/>
              <a:ea typeface="+mn-ea"/>
              <a:cs typeface="Arial" pitchFamily="34" charset="0"/>
            </a:rPr>
            <a:t>444 N. Michigan Ave., Suite 400</a:t>
          </a:r>
        </a:p>
        <a:p>
          <a:pPr lvl="1"/>
          <a:r>
            <a:rPr lang="en-US" sz="1100" b="0" i="0" u="none" strike="noStrike" baseline="0" smtClean="0">
              <a:solidFill>
                <a:schemeClr val="dk1"/>
              </a:solidFill>
              <a:latin typeface="Arial" pitchFamily="34" charset="0"/>
              <a:ea typeface="+mn-ea"/>
              <a:cs typeface="Arial" pitchFamily="34" charset="0"/>
            </a:rPr>
            <a:t>Chicago, IL 60611</a:t>
          </a:r>
          <a:endParaRPr lang="en-US" sz="1200" baseline="0">
            <a:solidFill>
              <a:sysClr val="windowText" lastClr="000000"/>
            </a:solidFill>
            <a:latin typeface="Arial" pitchFamily="34" charset="0"/>
            <a:cs typeface="Arial" pitchFamily="34" charset="0"/>
          </a:endParaRPr>
        </a:p>
        <a:p>
          <a:endParaRPr lang="en-US" sz="1200" baseline="0">
            <a:solidFill>
              <a:sysClr val="windowText" lastClr="000000"/>
            </a:solidFill>
            <a:latin typeface="Arial" pitchFamily="34" charset="0"/>
            <a:cs typeface="Arial" pitchFamily="34" charset="0"/>
          </a:endParaRPr>
        </a:p>
        <a:p>
          <a:endParaRPr lang="en-US" sz="1200" baseline="0">
            <a:solidFill>
              <a:sysClr val="windowText" lastClr="000000"/>
            </a:solidFill>
            <a:latin typeface="Arial" pitchFamily="34" charset="0"/>
            <a:cs typeface="Arial" pitchFamily="34" charset="0"/>
          </a:endParaRPr>
        </a:p>
      </xdr:txBody>
    </xdr:sp>
    <xdr:clientData/>
  </xdr:oneCellAnchor>
  <xdr:twoCellAnchor editAs="oneCell">
    <xdr:from>
      <xdr:col>13</xdr:col>
      <xdr:colOff>506015</xdr:colOff>
      <xdr:row>2</xdr:row>
      <xdr:rowOff>39687</xdr:rowOff>
    </xdr:from>
    <xdr:to>
      <xdr:col>18</xdr:col>
      <xdr:colOff>574240</xdr:colOff>
      <xdr:row>7</xdr:row>
      <xdr:rowOff>115467</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51328" y="287734"/>
          <a:ext cx="3094396" cy="869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57150</xdr:colOff>
      <xdr:row>2</xdr:row>
      <xdr:rowOff>104775</xdr:rowOff>
    </xdr:from>
    <xdr:to>
      <xdr:col>6</xdr:col>
      <xdr:colOff>779821</xdr:colOff>
      <xdr:row>5</xdr:row>
      <xdr:rowOff>198207</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6575" y="371475"/>
          <a:ext cx="2332396" cy="6554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8"/>
  <sheetViews>
    <sheetView showGridLines="0" showRowColHeaders="0" zoomScale="96" zoomScaleNormal="96" workbookViewId="0">
      <selection activeCell="F34" sqref="F34"/>
    </sheetView>
  </sheetViews>
  <sheetFormatPr defaultRowHeight="12.75"/>
  <cols>
    <col min="1" max="1" width="3.140625" style="98" customWidth="1"/>
    <col min="2" max="2" width="1.140625" style="98" customWidth="1"/>
    <col min="3" max="19" width="9.140625" style="98"/>
    <col min="20" max="20" width="1.140625" style="98" customWidth="1"/>
    <col min="21" max="16384" width="9.140625" style="98"/>
  </cols>
  <sheetData>
    <row r="1" spans="2:20" ht="13.5" thickBot="1"/>
    <row r="2" spans="2:20" ht="6" customHeight="1" thickBot="1">
      <c r="B2" s="159"/>
      <c r="C2" s="160"/>
      <c r="D2" s="160"/>
      <c r="E2" s="160"/>
      <c r="F2" s="160"/>
      <c r="G2" s="160"/>
      <c r="H2" s="160"/>
      <c r="I2" s="160"/>
      <c r="J2" s="160"/>
      <c r="K2" s="160"/>
      <c r="L2" s="160"/>
      <c r="M2" s="160"/>
      <c r="N2" s="160"/>
      <c r="O2" s="160"/>
      <c r="P2" s="160"/>
      <c r="Q2" s="160"/>
      <c r="R2" s="160"/>
      <c r="S2" s="160"/>
      <c r="T2" s="161"/>
    </row>
    <row r="3" spans="2:20">
      <c r="B3" s="162"/>
      <c r="C3" s="153"/>
      <c r="D3" s="154"/>
      <c r="E3" s="154"/>
      <c r="F3" s="154"/>
      <c r="G3" s="154"/>
      <c r="H3" s="154"/>
      <c r="I3" s="154"/>
      <c r="J3" s="154"/>
      <c r="K3" s="154"/>
      <c r="L3" s="154"/>
      <c r="M3" s="154"/>
      <c r="N3" s="154"/>
      <c r="O3" s="154"/>
      <c r="P3" s="154"/>
      <c r="Q3" s="154"/>
      <c r="R3" s="154"/>
      <c r="S3" s="155"/>
      <c r="T3" s="163"/>
    </row>
    <row r="4" spans="2:20">
      <c r="B4" s="162"/>
      <c r="C4" s="156"/>
      <c r="D4" s="157"/>
      <c r="E4" s="157"/>
      <c r="F4" s="157"/>
      <c r="G4" s="157"/>
      <c r="H4" s="157"/>
      <c r="I4" s="157"/>
      <c r="J4" s="157"/>
      <c r="K4" s="157"/>
      <c r="L4" s="157"/>
      <c r="M4" s="157"/>
      <c r="N4" s="157"/>
      <c r="O4" s="157"/>
      <c r="P4" s="157"/>
      <c r="Q4" s="157"/>
      <c r="R4" s="157"/>
      <c r="S4" s="158"/>
      <c r="T4" s="163"/>
    </row>
    <row r="5" spans="2:20">
      <c r="B5" s="162"/>
      <c r="C5" s="156"/>
      <c r="D5" s="157"/>
      <c r="E5" s="157"/>
      <c r="F5" s="157"/>
      <c r="G5" s="157"/>
      <c r="H5" s="157"/>
      <c r="I5" s="157"/>
      <c r="J5" s="157"/>
      <c r="K5" s="157"/>
      <c r="L5" s="157"/>
      <c r="M5" s="157"/>
      <c r="N5" s="157"/>
      <c r="O5" s="157"/>
      <c r="P5" s="157"/>
      <c r="Q5" s="157"/>
      <c r="R5" s="157"/>
      <c r="S5" s="158"/>
      <c r="T5" s="163"/>
    </row>
    <row r="6" spans="2:20">
      <c r="B6" s="162"/>
      <c r="C6" s="156"/>
      <c r="D6" s="157"/>
      <c r="E6" s="157"/>
      <c r="F6" s="157"/>
      <c r="G6" s="157"/>
      <c r="H6" s="157"/>
      <c r="I6" s="157"/>
      <c r="J6" s="157"/>
      <c r="K6" s="157"/>
      <c r="L6" s="157"/>
      <c r="M6" s="157"/>
      <c r="N6" s="157"/>
      <c r="O6" s="157"/>
      <c r="P6" s="157"/>
      <c r="Q6" s="157"/>
      <c r="R6" s="157"/>
      <c r="S6" s="158"/>
      <c r="T6" s="163"/>
    </row>
    <row r="7" spans="2:20">
      <c r="B7" s="162"/>
      <c r="C7" s="156"/>
      <c r="D7" s="157"/>
      <c r="E7" s="157"/>
      <c r="F7" s="157"/>
      <c r="G7" s="157"/>
      <c r="H7" s="157"/>
      <c r="I7" s="157"/>
      <c r="J7" s="157"/>
      <c r="K7" s="157"/>
      <c r="L7" s="157"/>
      <c r="M7" s="157"/>
      <c r="N7" s="157"/>
      <c r="O7" s="157"/>
      <c r="P7" s="157"/>
      <c r="Q7" s="157"/>
      <c r="R7" s="157"/>
      <c r="S7" s="158"/>
      <c r="T7" s="163"/>
    </row>
    <row r="8" spans="2:20">
      <c r="B8" s="162"/>
      <c r="C8" s="156"/>
      <c r="D8" s="157"/>
      <c r="E8" s="157"/>
      <c r="F8" s="157"/>
      <c r="G8" s="157"/>
      <c r="H8" s="157"/>
      <c r="I8" s="157"/>
      <c r="J8" s="157"/>
      <c r="K8" s="157"/>
      <c r="L8" s="157"/>
      <c r="M8" s="157"/>
      <c r="N8" s="157"/>
      <c r="O8" s="157"/>
      <c r="P8" s="157"/>
      <c r="Q8" s="157"/>
      <c r="R8" s="157"/>
      <c r="S8" s="158"/>
      <c r="T8" s="163"/>
    </row>
    <row r="9" spans="2:20">
      <c r="B9" s="162"/>
      <c r="C9" s="156"/>
      <c r="D9" s="157"/>
      <c r="E9" s="157"/>
      <c r="F9" s="157"/>
      <c r="G9" s="157"/>
      <c r="H9" s="157"/>
      <c r="I9" s="157"/>
      <c r="J9" s="157"/>
      <c r="K9" s="157"/>
      <c r="L9" s="157"/>
      <c r="M9" s="157"/>
      <c r="N9" s="157"/>
      <c r="O9" s="157"/>
      <c r="P9" s="157"/>
      <c r="Q9" s="157"/>
      <c r="R9" s="157"/>
      <c r="S9" s="158"/>
      <c r="T9" s="163"/>
    </row>
    <row r="10" spans="2:20">
      <c r="B10" s="162"/>
      <c r="C10" s="156"/>
      <c r="D10" s="157"/>
      <c r="E10" s="157"/>
      <c r="F10" s="157"/>
      <c r="G10" s="157"/>
      <c r="H10" s="157"/>
      <c r="I10" s="157"/>
      <c r="J10" s="157"/>
      <c r="K10" s="157"/>
      <c r="L10" s="157"/>
      <c r="M10" s="157"/>
      <c r="N10" s="157"/>
      <c r="O10" s="157"/>
      <c r="P10" s="157"/>
      <c r="Q10" s="157"/>
      <c r="R10" s="157"/>
      <c r="S10" s="158"/>
      <c r="T10" s="163"/>
    </row>
    <row r="11" spans="2:20">
      <c r="B11" s="162"/>
      <c r="C11" s="156"/>
      <c r="D11" s="157"/>
      <c r="E11" s="157"/>
      <c r="F11" s="157"/>
      <c r="G11" s="157"/>
      <c r="H11" s="157"/>
      <c r="I11" s="157"/>
      <c r="J11" s="157"/>
      <c r="K11" s="157"/>
      <c r="L11" s="157"/>
      <c r="M11" s="157"/>
      <c r="N11" s="157"/>
      <c r="O11" s="157"/>
      <c r="P11" s="157"/>
      <c r="Q11" s="157"/>
      <c r="R11" s="157"/>
      <c r="S11" s="158"/>
      <c r="T11" s="163"/>
    </row>
    <row r="12" spans="2:20">
      <c r="B12" s="162"/>
      <c r="C12" s="156"/>
      <c r="D12" s="157"/>
      <c r="E12" s="157"/>
      <c r="F12" s="157"/>
      <c r="G12" s="157"/>
      <c r="H12" s="157"/>
      <c r="I12" s="157"/>
      <c r="J12" s="157"/>
      <c r="K12" s="157"/>
      <c r="L12" s="157"/>
      <c r="M12" s="157"/>
      <c r="N12" s="157"/>
      <c r="O12" s="157"/>
      <c r="P12" s="157"/>
      <c r="Q12" s="157"/>
      <c r="R12" s="157"/>
      <c r="S12" s="158"/>
      <c r="T12" s="163"/>
    </row>
    <row r="13" spans="2:20">
      <c r="B13" s="162"/>
      <c r="C13" s="156"/>
      <c r="D13" s="157"/>
      <c r="E13" s="157"/>
      <c r="F13" s="157"/>
      <c r="G13" s="157"/>
      <c r="H13" s="157"/>
      <c r="I13" s="157"/>
      <c r="J13" s="157"/>
      <c r="K13" s="157"/>
      <c r="L13" s="157"/>
      <c r="M13" s="157"/>
      <c r="N13" s="157"/>
      <c r="O13" s="157"/>
      <c r="P13" s="157"/>
      <c r="Q13" s="157"/>
      <c r="R13" s="157"/>
      <c r="S13" s="158"/>
      <c r="T13" s="163"/>
    </row>
    <row r="14" spans="2:20">
      <c r="B14" s="162"/>
      <c r="C14" s="156"/>
      <c r="D14" s="157"/>
      <c r="E14" s="157"/>
      <c r="F14" s="157"/>
      <c r="G14" s="157"/>
      <c r="H14" s="157"/>
      <c r="I14" s="157"/>
      <c r="J14" s="157"/>
      <c r="K14" s="157"/>
      <c r="L14" s="157"/>
      <c r="M14" s="157"/>
      <c r="N14" s="157"/>
      <c r="O14" s="157"/>
      <c r="P14" s="157"/>
      <c r="Q14" s="157"/>
      <c r="R14" s="157"/>
      <c r="S14" s="158"/>
      <c r="T14" s="163"/>
    </row>
    <row r="15" spans="2:20">
      <c r="B15" s="162"/>
      <c r="C15" s="156"/>
      <c r="D15" s="157"/>
      <c r="E15" s="157"/>
      <c r="F15" s="157"/>
      <c r="G15" s="157"/>
      <c r="H15" s="157"/>
      <c r="I15" s="157"/>
      <c r="J15" s="157"/>
      <c r="K15" s="157"/>
      <c r="L15" s="157"/>
      <c r="M15" s="157"/>
      <c r="N15" s="157"/>
      <c r="O15" s="157"/>
      <c r="P15" s="157"/>
      <c r="Q15" s="157"/>
      <c r="R15" s="157"/>
      <c r="S15" s="158"/>
      <c r="T15" s="163"/>
    </row>
    <row r="16" spans="2:20">
      <c r="B16" s="162"/>
      <c r="C16" s="156"/>
      <c r="D16" s="157"/>
      <c r="E16" s="157"/>
      <c r="F16" s="157"/>
      <c r="G16" s="157"/>
      <c r="H16" s="157"/>
      <c r="I16" s="157"/>
      <c r="J16" s="157"/>
      <c r="K16" s="157"/>
      <c r="L16" s="157"/>
      <c r="M16" s="157"/>
      <c r="N16" s="157"/>
      <c r="O16" s="157"/>
      <c r="P16" s="157"/>
      <c r="Q16" s="157"/>
      <c r="R16" s="157"/>
      <c r="S16" s="158"/>
      <c r="T16" s="163"/>
    </row>
    <row r="17" spans="2:20">
      <c r="B17" s="162"/>
      <c r="C17" s="156"/>
      <c r="D17" s="157"/>
      <c r="E17" s="157"/>
      <c r="F17" s="157"/>
      <c r="G17" s="157"/>
      <c r="H17" s="157"/>
      <c r="I17" s="157"/>
      <c r="J17" s="157"/>
      <c r="K17" s="157"/>
      <c r="L17" s="157"/>
      <c r="M17" s="157"/>
      <c r="N17" s="157"/>
      <c r="O17" s="157"/>
      <c r="P17" s="157"/>
      <c r="Q17" s="157"/>
      <c r="R17" s="157"/>
      <c r="S17" s="158"/>
      <c r="T17" s="163"/>
    </row>
    <row r="18" spans="2:20">
      <c r="B18" s="162"/>
      <c r="C18" s="156"/>
      <c r="D18" s="157"/>
      <c r="E18" s="157"/>
      <c r="F18" s="157"/>
      <c r="G18" s="157"/>
      <c r="H18" s="157"/>
      <c r="I18" s="157"/>
      <c r="J18" s="157"/>
      <c r="K18" s="157"/>
      <c r="L18" s="157"/>
      <c r="M18" s="157"/>
      <c r="N18" s="157"/>
      <c r="O18" s="157"/>
      <c r="P18" s="157"/>
      <c r="Q18" s="157"/>
      <c r="R18" s="157"/>
      <c r="S18" s="158"/>
      <c r="T18" s="163"/>
    </row>
    <row r="19" spans="2:20">
      <c r="B19" s="162"/>
      <c r="C19" s="156"/>
      <c r="D19" s="157"/>
      <c r="E19" s="157"/>
      <c r="F19" s="157"/>
      <c r="G19" s="157"/>
      <c r="H19" s="157"/>
      <c r="I19" s="157"/>
      <c r="J19" s="157"/>
      <c r="K19" s="157"/>
      <c r="L19" s="157"/>
      <c r="M19" s="157"/>
      <c r="N19" s="157"/>
      <c r="O19" s="157"/>
      <c r="P19" s="157"/>
      <c r="Q19" s="157"/>
      <c r="R19" s="157"/>
      <c r="S19" s="158"/>
      <c r="T19" s="163"/>
    </row>
    <row r="20" spans="2:20">
      <c r="B20" s="162"/>
      <c r="C20" s="156"/>
      <c r="D20" s="157"/>
      <c r="E20" s="157"/>
      <c r="F20" s="157"/>
      <c r="G20" s="157"/>
      <c r="H20" s="157"/>
      <c r="I20" s="157"/>
      <c r="J20" s="157"/>
      <c r="K20" s="157"/>
      <c r="L20" s="157"/>
      <c r="M20" s="157"/>
      <c r="N20" s="157"/>
      <c r="O20" s="157"/>
      <c r="P20" s="157"/>
      <c r="Q20" s="157"/>
      <c r="R20" s="157"/>
      <c r="S20" s="158"/>
      <c r="T20" s="163"/>
    </row>
    <row r="21" spans="2:20">
      <c r="B21" s="162"/>
      <c r="C21" s="156"/>
      <c r="D21" s="157"/>
      <c r="E21" s="157"/>
      <c r="F21" s="157"/>
      <c r="G21" s="157"/>
      <c r="H21" s="157"/>
      <c r="I21" s="157"/>
      <c r="J21" s="157"/>
      <c r="K21" s="157"/>
      <c r="L21" s="157"/>
      <c r="M21" s="157"/>
      <c r="N21" s="157"/>
      <c r="O21" s="157"/>
      <c r="P21" s="157"/>
      <c r="Q21" s="157"/>
      <c r="R21" s="157"/>
      <c r="S21" s="158"/>
      <c r="T21" s="163"/>
    </row>
    <row r="22" spans="2:20">
      <c r="B22" s="162"/>
      <c r="C22" s="156"/>
      <c r="D22" s="157"/>
      <c r="E22" s="157"/>
      <c r="F22" s="157"/>
      <c r="G22" s="157"/>
      <c r="H22" s="157"/>
      <c r="I22" s="157"/>
      <c r="J22" s="157"/>
      <c r="K22" s="157"/>
      <c r="L22" s="157"/>
      <c r="M22" s="157"/>
      <c r="N22" s="157"/>
      <c r="O22" s="157"/>
      <c r="P22" s="157"/>
      <c r="Q22" s="157"/>
      <c r="R22" s="157"/>
      <c r="S22" s="158"/>
      <c r="T22" s="163"/>
    </row>
    <row r="23" spans="2:20">
      <c r="B23" s="162"/>
      <c r="C23" s="156"/>
      <c r="D23" s="157"/>
      <c r="E23" s="157"/>
      <c r="F23" s="157"/>
      <c r="G23" s="157"/>
      <c r="H23" s="157"/>
      <c r="I23" s="157"/>
      <c r="J23" s="157"/>
      <c r="K23" s="157"/>
      <c r="L23" s="157"/>
      <c r="M23" s="157"/>
      <c r="N23" s="157"/>
      <c r="O23" s="157"/>
      <c r="P23" s="157"/>
      <c r="Q23" s="157"/>
      <c r="R23" s="157"/>
      <c r="S23" s="158"/>
      <c r="T23" s="163"/>
    </row>
    <row r="24" spans="2:20">
      <c r="B24" s="162"/>
      <c r="C24" s="156"/>
      <c r="D24" s="157"/>
      <c r="E24" s="157"/>
      <c r="F24" s="157"/>
      <c r="G24" s="157"/>
      <c r="H24" s="157"/>
      <c r="I24" s="157"/>
      <c r="J24" s="157"/>
      <c r="K24" s="157"/>
      <c r="L24" s="157"/>
      <c r="M24" s="157"/>
      <c r="N24" s="157"/>
      <c r="O24" s="157"/>
      <c r="P24" s="157"/>
      <c r="Q24" s="157"/>
      <c r="R24" s="157"/>
      <c r="S24" s="158"/>
      <c r="T24" s="163"/>
    </row>
    <row r="25" spans="2:20">
      <c r="B25" s="162"/>
      <c r="C25" s="156"/>
      <c r="D25" s="157"/>
      <c r="E25" s="157"/>
      <c r="F25" s="157"/>
      <c r="G25" s="157"/>
      <c r="H25" s="157"/>
      <c r="I25" s="157"/>
      <c r="J25" s="157"/>
      <c r="K25" s="157"/>
      <c r="L25" s="157"/>
      <c r="M25" s="157"/>
      <c r="N25" s="157"/>
      <c r="O25" s="157"/>
      <c r="P25" s="157"/>
      <c r="Q25" s="157"/>
      <c r="R25" s="157"/>
      <c r="S25" s="158"/>
      <c r="T25" s="163"/>
    </row>
    <row r="26" spans="2:20">
      <c r="B26" s="162"/>
      <c r="C26" s="156"/>
      <c r="D26" s="157"/>
      <c r="E26" s="157"/>
      <c r="F26" s="157"/>
      <c r="G26" s="157"/>
      <c r="H26" s="157"/>
      <c r="I26" s="157"/>
      <c r="J26" s="157"/>
      <c r="K26" s="157"/>
      <c r="L26" s="157"/>
      <c r="M26" s="157"/>
      <c r="N26" s="157"/>
      <c r="O26" s="157"/>
      <c r="P26" s="157"/>
      <c r="Q26" s="157"/>
      <c r="R26" s="157"/>
      <c r="S26" s="158"/>
      <c r="T26" s="163"/>
    </row>
    <row r="27" spans="2:20">
      <c r="B27" s="162"/>
      <c r="C27" s="156"/>
      <c r="D27" s="157"/>
      <c r="E27" s="157"/>
      <c r="F27" s="157"/>
      <c r="G27" s="157"/>
      <c r="H27" s="157"/>
      <c r="I27" s="157"/>
      <c r="J27" s="157"/>
      <c r="K27" s="157"/>
      <c r="L27" s="157"/>
      <c r="M27" s="157"/>
      <c r="N27" s="157"/>
      <c r="O27" s="157"/>
      <c r="P27" s="157"/>
      <c r="Q27" s="157"/>
      <c r="R27" s="157"/>
      <c r="S27" s="158"/>
      <c r="T27" s="163"/>
    </row>
    <row r="28" spans="2:20">
      <c r="B28" s="162"/>
      <c r="C28" s="156"/>
      <c r="D28" s="157"/>
      <c r="E28" s="157"/>
      <c r="F28" s="157"/>
      <c r="G28" s="157"/>
      <c r="H28" s="157"/>
      <c r="I28" s="157"/>
      <c r="J28" s="157"/>
      <c r="K28" s="157"/>
      <c r="L28" s="157"/>
      <c r="M28" s="157"/>
      <c r="N28" s="157"/>
      <c r="O28" s="157"/>
      <c r="P28" s="157"/>
      <c r="Q28" s="157"/>
      <c r="R28" s="157"/>
      <c r="S28" s="158"/>
      <c r="T28" s="163"/>
    </row>
    <row r="29" spans="2:20">
      <c r="B29" s="162"/>
      <c r="C29" s="156"/>
      <c r="D29" s="157"/>
      <c r="E29" s="157"/>
      <c r="F29" s="157"/>
      <c r="G29" s="157"/>
      <c r="H29" s="157"/>
      <c r="I29" s="157"/>
      <c r="J29" s="157"/>
      <c r="K29" s="157"/>
      <c r="L29" s="157"/>
      <c r="M29" s="157"/>
      <c r="N29" s="157"/>
      <c r="O29" s="157"/>
      <c r="P29" s="157"/>
      <c r="Q29" s="157"/>
      <c r="R29" s="157"/>
      <c r="S29" s="158"/>
      <c r="T29" s="163"/>
    </row>
    <row r="30" spans="2:20">
      <c r="B30" s="162"/>
      <c r="C30" s="156"/>
      <c r="D30" s="157"/>
      <c r="E30" s="157"/>
      <c r="F30" s="157"/>
      <c r="G30" s="157"/>
      <c r="H30" s="157"/>
      <c r="I30" s="157"/>
      <c r="J30" s="157"/>
      <c r="K30" s="157"/>
      <c r="L30" s="157"/>
      <c r="M30" s="157"/>
      <c r="N30" s="157"/>
      <c r="O30" s="157"/>
      <c r="P30" s="157"/>
      <c r="Q30" s="157"/>
      <c r="R30" s="157"/>
      <c r="S30" s="158"/>
      <c r="T30" s="163"/>
    </row>
    <row r="31" spans="2:20">
      <c r="B31" s="162"/>
      <c r="C31" s="156"/>
      <c r="D31" s="157"/>
      <c r="E31" s="157"/>
      <c r="F31" s="157"/>
      <c r="G31" s="157"/>
      <c r="H31" s="157"/>
      <c r="I31" s="157"/>
      <c r="J31" s="157"/>
      <c r="K31" s="157"/>
      <c r="L31" s="157"/>
      <c r="M31" s="157"/>
      <c r="N31" s="157"/>
      <c r="O31" s="157"/>
      <c r="P31" s="157"/>
      <c r="Q31" s="157"/>
      <c r="R31" s="157"/>
      <c r="S31" s="158"/>
      <c r="T31" s="163"/>
    </row>
    <row r="32" spans="2:20" ht="5.25" customHeight="1" thickBot="1">
      <c r="B32" s="164"/>
      <c r="C32" s="165"/>
      <c r="D32" s="165"/>
      <c r="E32" s="165"/>
      <c r="F32" s="165"/>
      <c r="G32" s="165"/>
      <c r="H32" s="165"/>
      <c r="I32" s="165"/>
      <c r="J32" s="165"/>
      <c r="K32" s="165"/>
      <c r="L32" s="165"/>
      <c r="M32" s="165"/>
      <c r="N32" s="165"/>
      <c r="O32" s="165"/>
      <c r="P32" s="165"/>
      <c r="Q32" s="165"/>
      <c r="R32" s="165"/>
      <c r="S32" s="165"/>
      <c r="T32" s="166"/>
    </row>
    <row r="34" spans="5:15">
      <c r="E34" s="157"/>
      <c r="F34" s="157"/>
      <c r="G34" s="157"/>
      <c r="H34" s="157"/>
      <c r="I34" s="157"/>
      <c r="J34" s="157"/>
      <c r="K34" s="157"/>
      <c r="L34" s="157"/>
      <c r="M34" s="157"/>
      <c r="N34" s="157"/>
      <c r="O34" s="157"/>
    </row>
    <row r="35" spans="5:15">
      <c r="E35" s="157"/>
      <c r="F35" s="157"/>
      <c r="G35" s="157"/>
      <c r="H35" s="157"/>
      <c r="I35" s="157"/>
      <c r="J35" s="157"/>
      <c r="K35" s="157"/>
      <c r="L35" s="157"/>
      <c r="M35" s="157"/>
      <c r="N35" s="157"/>
      <c r="O35" s="157"/>
    </row>
    <row r="36" spans="5:15">
      <c r="E36" s="157"/>
      <c r="F36" s="157"/>
      <c r="G36" s="157"/>
      <c r="H36" s="157"/>
      <c r="I36" s="157"/>
      <c r="J36" s="157"/>
      <c r="K36" s="157"/>
      <c r="L36" s="157"/>
      <c r="M36" s="157"/>
      <c r="N36" s="157"/>
      <c r="O36" s="157"/>
    </row>
    <row r="37" spans="5:15">
      <c r="E37" s="157"/>
      <c r="F37" s="157"/>
      <c r="G37" s="157"/>
      <c r="H37" s="157"/>
      <c r="I37" s="157"/>
      <c r="J37" s="157"/>
      <c r="K37" s="157"/>
      <c r="L37" s="157"/>
      <c r="M37" s="157"/>
      <c r="N37" s="157"/>
      <c r="O37" s="157"/>
    </row>
    <row r="38" spans="5:15">
      <c r="E38" s="157"/>
      <c r="F38" s="157"/>
      <c r="G38" s="167"/>
      <c r="H38" s="167"/>
      <c r="I38" s="167"/>
      <c r="J38" s="167"/>
      <c r="K38" s="157"/>
      <c r="L38" s="157"/>
      <c r="M38" s="157"/>
      <c r="N38" s="157"/>
      <c r="O38" s="157"/>
    </row>
    <row r="39" spans="5:15">
      <c r="E39" s="157"/>
      <c r="F39" s="157"/>
      <c r="G39" s="167"/>
      <c r="H39" s="167"/>
      <c r="I39" s="167"/>
      <c r="J39" s="167"/>
      <c r="K39" s="157"/>
      <c r="L39" s="157"/>
      <c r="M39" s="157"/>
      <c r="N39" s="157"/>
      <c r="O39" s="157"/>
    </row>
    <row r="40" spans="5:15">
      <c r="E40" s="157"/>
      <c r="F40" s="157"/>
      <c r="G40" s="167"/>
      <c r="H40" s="167"/>
      <c r="I40" s="167"/>
      <c r="J40" s="167"/>
      <c r="K40" s="157"/>
      <c r="L40" s="157"/>
      <c r="M40" s="157"/>
      <c r="N40" s="157"/>
      <c r="O40" s="157"/>
    </row>
    <row r="41" spans="5:15">
      <c r="E41" s="157"/>
      <c r="F41" s="157"/>
      <c r="G41" s="167"/>
      <c r="H41" s="167"/>
      <c r="I41" s="167"/>
      <c r="J41" s="167"/>
      <c r="K41" s="157"/>
      <c r="L41" s="157"/>
      <c r="M41" s="157"/>
      <c r="N41" s="157"/>
      <c r="O41" s="157"/>
    </row>
    <row r="42" spans="5:15">
      <c r="E42" s="157"/>
      <c r="F42" s="157"/>
      <c r="G42" s="157"/>
      <c r="H42" s="157"/>
      <c r="I42" s="157"/>
      <c r="J42" s="157"/>
      <c r="K42" s="157"/>
      <c r="L42" s="157"/>
      <c r="M42" s="157"/>
      <c r="N42" s="157"/>
      <c r="O42" s="157"/>
    </row>
    <row r="43" spans="5:15">
      <c r="E43" s="157"/>
      <c r="F43" s="157"/>
      <c r="G43" s="157"/>
      <c r="H43" s="157"/>
      <c r="I43" s="157"/>
      <c r="J43" s="157"/>
      <c r="K43" s="157"/>
      <c r="L43" s="157"/>
      <c r="M43" s="157"/>
      <c r="N43" s="157"/>
      <c r="O43" s="157"/>
    </row>
    <row r="44" spans="5:15">
      <c r="E44" s="157"/>
      <c r="F44" s="157"/>
      <c r="G44" s="157"/>
      <c r="H44" s="157"/>
      <c r="I44" s="157"/>
      <c r="J44" s="157"/>
      <c r="K44" s="157"/>
      <c r="L44" s="157"/>
      <c r="M44" s="157"/>
      <c r="N44" s="157"/>
      <c r="O44" s="157"/>
    </row>
    <row r="45" spans="5:15">
      <c r="E45" s="157"/>
      <c r="F45" s="157"/>
      <c r="G45" s="157"/>
      <c r="H45" s="157"/>
      <c r="I45" s="157"/>
      <c r="J45" s="157"/>
      <c r="K45" s="157"/>
      <c r="L45" s="157"/>
      <c r="M45" s="157"/>
      <c r="N45" s="157"/>
      <c r="O45" s="157"/>
    </row>
    <row r="46" spans="5:15">
      <c r="E46" s="157"/>
      <c r="F46" s="157"/>
      <c r="G46" s="157"/>
      <c r="H46" s="157"/>
      <c r="I46" s="157"/>
      <c r="J46" s="157"/>
      <c r="K46" s="157"/>
      <c r="L46" s="157"/>
      <c r="M46" s="157"/>
      <c r="N46" s="157"/>
      <c r="O46" s="157"/>
    </row>
    <row r="47" spans="5:15">
      <c r="E47" s="157"/>
      <c r="F47" s="157"/>
      <c r="G47" s="157"/>
      <c r="H47" s="157"/>
      <c r="I47" s="157"/>
      <c r="J47" s="157"/>
      <c r="K47" s="157"/>
      <c r="L47" s="157"/>
      <c r="M47" s="157"/>
      <c r="N47" s="157"/>
      <c r="O47" s="157"/>
    </row>
    <row r="48" spans="5:15">
      <c r="E48" s="157"/>
      <c r="F48" s="157"/>
      <c r="G48" s="157"/>
      <c r="H48" s="157"/>
      <c r="I48" s="157"/>
      <c r="J48" s="157"/>
      <c r="K48" s="157"/>
      <c r="L48" s="157"/>
      <c r="M48" s="157"/>
      <c r="N48" s="157"/>
      <c r="O48" s="157"/>
    </row>
  </sheetData>
  <sheetProtection password="998D"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24"/>
  <sheetViews>
    <sheetView showGridLines="0" tabSelected="1" zoomScaleNormal="100" zoomScaleSheetLayoutView="100" workbookViewId="0"/>
  </sheetViews>
  <sheetFormatPr defaultRowHeight="14.25"/>
  <cols>
    <col min="1" max="1" width="2.85546875" style="111" customWidth="1"/>
    <col min="2" max="2" width="1.140625" style="111" customWidth="1"/>
    <col min="3" max="3" width="25.140625" style="111" bestFit="1" customWidth="1"/>
    <col min="4" max="4" width="16.140625" style="111" customWidth="1"/>
    <col min="5" max="5" width="9.140625" style="111"/>
    <col min="6" max="6" width="15" style="111" customWidth="1"/>
    <col min="7" max="7" width="12.140625" style="111" bestFit="1" customWidth="1"/>
    <col min="8" max="8" width="1.140625" style="111" customWidth="1"/>
    <col min="9" max="9" width="3" style="111" customWidth="1"/>
    <col min="10" max="10" width="9.42578125" style="111" bestFit="1" customWidth="1"/>
    <col min="11" max="12" width="10.140625" style="111" bestFit="1" customWidth="1"/>
    <col min="13" max="17" width="9.140625" style="111"/>
    <col min="18" max="18" width="0" style="111" hidden="1" customWidth="1"/>
    <col min="19" max="16384" width="9.140625" style="111"/>
  </cols>
  <sheetData>
    <row r="1" spans="2:18" ht="15" thickBot="1"/>
    <row r="2" spans="2:18" ht="6" customHeight="1" thickBot="1">
      <c r="B2" s="117"/>
      <c r="C2" s="118"/>
      <c r="D2" s="118"/>
      <c r="E2" s="118"/>
      <c r="F2" s="118"/>
      <c r="G2" s="118"/>
      <c r="H2" s="119"/>
    </row>
    <row r="3" spans="2:18" ht="15.75" customHeight="1">
      <c r="B3" s="114"/>
      <c r="C3" s="231" t="s">
        <v>132</v>
      </c>
      <c r="D3" s="196"/>
      <c r="E3" s="108"/>
      <c r="F3" s="108"/>
      <c r="G3" s="107"/>
      <c r="H3" s="116"/>
    </row>
    <row r="4" spans="2:18" ht="14.25" customHeight="1">
      <c r="B4" s="114"/>
      <c r="C4" s="197"/>
      <c r="D4" s="198"/>
      <c r="E4" s="120"/>
      <c r="F4" s="120"/>
      <c r="G4" s="121"/>
      <c r="H4" s="116"/>
      <c r="R4" s="111" t="s">
        <v>48</v>
      </c>
    </row>
    <row r="5" spans="2:18" ht="14.25" customHeight="1">
      <c r="B5" s="114"/>
      <c r="C5" s="197"/>
      <c r="D5" s="198"/>
      <c r="E5" s="120"/>
      <c r="F5" s="120"/>
      <c r="G5" s="121"/>
      <c r="H5" s="116"/>
      <c r="R5" s="111" t="s">
        <v>55</v>
      </c>
    </row>
    <row r="6" spans="2:18" ht="35.25" customHeight="1" thickBot="1">
      <c r="B6" s="114"/>
      <c r="C6" s="199"/>
      <c r="D6" s="200"/>
      <c r="E6" s="109"/>
      <c r="F6" s="109"/>
      <c r="G6" s="110"/>
      <c r="H6" s="116"/>
    </row>
    <row r="7" spans="2:18" ht="6" customHeight="1" thickBot="1">
      <c r="B7" s="114"/>
      <c r="C7" s="115"/>
      <c r="D7" s="115"/>
      <c r="E7" s="115"/>
      <c r="F7" s="115"/>
      <c r="G7" s="115"/>
      <c r="H7" s="116"/>
    </row>
    <row r="8" spans="2:18" ht="15" thickBot="1">
      <c r="B8" s="114"/>
      <c r="C8" s="201" t="s">
        <v>4</v>
      </c>
      <c r="D8" s="202"/>
      <c r="E8" s="202"/>
      <c r="F8" s="202"/>
      <c r="G8" s="203"/>
      <c r="H8" s="116"/>
    </row>
    <row r="9" spans="2:18" ht="6" customHeight="1" thickBot="1">
      <c r="B9" s="112"/>
      <c r="C9" s="133"/>
      <c r="D9" s="134"/>
      <c r="E9" s="134"/>
      <c r="F9" s="134"/>
      <c r="G9" s="134"/>
      <c r="H9" s="113"/>
    </row>
    <row r="10" spans="2:18" ht="14.25" customHeight="1">
      <c r="B10" s="114"/>
      <c r="C10" s="213" t="s">
        <v>66</v>
      </c>
      <c r="D10" s="214"/>
      <c r="E10" s="214"/>
      <c r="F10" s="135"/>
      <c r="G10" s="136" t="s">
        <v>48</v>
      </c>
      <c r="H10" s="116"/>
      <c r="J10" s="111" t="s">
        <v>116</v>
      </c>
    </row>
    <row r="11" spans="2:18" ht="14.25" customHeight="1">
      <c r="B11" s="114"/>
      <c r="C11" s="204" t="s">
        <v>67</v>
      </c>
      <c r="D11" s="205"/>
      <c r="E11" s="205"/>
      <c r="F11" s="137"/>
      <c r="G11" s="138" t="s">
        <v>21</v>
      </c>
      <c r="H11" s="116"/>
      <c r="J11" s="111" t="s">
        <v>95</v>
      </c>
    </row>
    <row r="12" spans="2:18" ht="14.25" customHeight="1">
      <c r="B12" s="114"/>
      <c r="C12" s="204" t="s">
        <v>68</v>
      </c>
      <c r="D12" s="205"/>
      <c r="E12" s="205"/>
      <c r="F12" s="217"/>
      <c r="G12" s="218"/>
      <c r="H12" s="116"/>
      <c r="J12" s="111" t="s">
        <v>94</v>
      </c>
    </row>
    <row r="13" spans="2:18" ht="14.25" customHeight="1">
      <c r="B13" s="114"/>
      <c r="C13" s="215" t="s">
        <v>69</v>
      </c>
      <c r="D13" s="216"/>
      <c r="E13" s="216"/>
      <c r="F13" s="219"/>
      <c r="G13" s="220"/>
      <c r="H13" s="116"/>
      <c r="J13" s="111" t="s">
        <v>93</v>
      </c>
      <c r="L13" s="122"/>
    </row>
    <row r="14" spans="2:18" ht="14.25" customHeight="1">
      <c r="B14" s="114"/>
      <c r="C14" s="215" t="s">
        <v>70</v>
      </c>
      <c r="D14" s="216"/>
      <c r="E14" s="216"/>
      <c r="F14" s="139"/>
      <c r="G14" s="138" t="s">
        <v>96</v>
      </c>
      <c r="H14" s="116"/>
      <c r="J14" s="111" t="s">
        <v>131</v>
      </c>
      <c r="L14" s="131"/>
    </row>
    <row r="15" spans="2:18" ht="15">
      <c r="B15" s="114"/>
      <c r="C15" s="204" t="s">
        <v>129</v>
      </c>
      <c r="D15" s="205"/>
      <c r="E15" s="205"/>
      <c r="F15" s="139"/>
      <c r="G15" s="191" t="s">
        <v>71</v>
      </c>
      <c r="H15" s="116"/>
      <c r="J15" s="111" t="s">
        <v>91</v>
      </c>
      <c r="K15" s="123"/>
      <c r="M15" s="123"/>
    </row>
    <row r="16" spans="2:18" ht="15" thickBot="1">
      <c r="B16" s="124"/>
      <c r="C16" s="208" t="s">
        <v>130</v>
      </c>
      <c r="D16" s="209"/>
      <c r="E16" s="209"/>
      <c r="F16" s="140"/>
      <c r="G16" s="195" t="s">
        <v>71</v>
      </c>
      <c r="H16" s="116"/>
      <c r="J16" s="111" t="s">
        <v>92</v>
      </c>
    </row>
    <row r="17" spans="2:9" ht="6" customHeight="1" thickBot="1">
      <c r="B17" s="114"/>
      <c r="C17" s="141"/>
      <c r="D17" s="142"/>
      <c r="E17" s="142"/>
      <c r="F17" s="142"/>
      <c r="G17" s="142"/>
      <c r="H17" s="116"/>
    </row>
    <row r="18" spans="2:9" ht="15" thickBot="1">
      <c r="B18" s="124"/>
      <c r="C18" s="210" t="s">
        <v>53</v>
      </c>
      <c r="D18" s="211"/>
      <c r="E18" s="211"/>
      <c r="F18" s="211"/>
      <c r="G18" s="212"/>
      <c r="H18" s="116"/>
    </row>
    <row r="19" spans="2:9" ht="6" customHeight="1" thickBot="1">
      <c r="B19" s="114"/>
      <c r="C19" s="146"/>
      <c r="D19" s="142"/>
      <c r="E19" s="142"/>
      <c r="F19" s="142"/>
      <c r="G19" s="142"/>
      <c r="H19" s="116"/>
    </row>
    <row r="20" spans="2:9" ht="15" customHeight="1">
      <c r="B20" s="124"/>
      <c r="C20" s="229" t="s">
        <v>125</v>
      </c>
      <c r="D20" s="230"/>
      <c r="E20" s="230"/>
      <c r="F20" s="192">
        <f>IFERROR(Calculations!B5,"")</f>
        <v>213.03</v>
      </c>
      <c r="G20" s="190" t="s">
        <v>71</v>
      </c>
      <c r="H20" s="116"/>
    </row>
    <row r="21" spans="2:9">
      <c r="B21" s="124"/>
      <c r="C21" s="204" t="s">
        <v>59</v>
      </c>
      <c r="D21" s="205"/>
      <c r="E21" s="205"/>
      <c r="F21" s="143" t="str">
        <f>IFERROR(Calculations!B3,"")</f>
        <v/>
      </c>
      <c r="G21" s="144" t="s">
        <v>128</v>
      </c>
      <c r="H21" s="116"/>
    </row>
    <row r="22" spans="2:9">
      <c r="B22" s="124"/>
      <c r="C22" s="204" t="s">
        <v>60</v>
      </c>
      <c r="D22" s="205"/>
      <c r="E22" s="205"/>
      <c r="F22" s="145" t="str">
        <f>IF(F21="","",Calculations!B16)</f>
        <v/>
      </c>
      <c r="G22" s="191" t="s">
        <v>71</v>
      </c>
      <c r="H22" s="116"/>
    </row>
    <row r="23" spans="2:9">
      <c r="B23" s="124"/>
      <c r="C23" s="204" t="s">
        <v>127</v>
      </c>
      <c r="D23" s="205"/>
      <c r="E23" s="205"/>
      <c r="F23" s="145" t="str">
        <f>IFERROR(Calculations!B12,"")</f>
        <v/>
      </c>
      <c r="G23" s="191" t="s">
        <v>126</v>
      </c>
      <c r="H23" s="116"/>
    </row>
    <row r="24" spans="2:9" ht="15" thickBot="1">
      <c r="B24" s="124"/>
      <c r="C24" s="208" t="s">
        <v>110</v>
      </c>
      <c r="D24" s="209"/>
      <c r="E24" s="209"/>
      <c r="F24" s="194" t="str">
        <f>IFERROR(INDEX(Calculations!B22:B32,MATCH("Use",Calculations!C22:C32),1),"")</f>
        <v/>
      </c>
      <c r="G24" s="195" t="s">
        <v>71</v>
      </c>
      <c r="H24" s="116"/>
    </row>
    <row r="25" spans="2:9" ht="6" customHeight="1" thickBot="1">
      <c r="B25" s="114"/>
      <c r="C25" s="142"/>
      <c r="D25" s="142"/>
      <c r="E25" s="142"/>
      <c r="F25" s="142"/>
      <c r="G25" s="142"/>
      <c r="H25" s="116"/>
    </row>
    <row r="26" spans="2:9" ht="15" thickBot="1">
      <c r="B26" s="124"/>
      <c r="C26" s="210" t="s">
        <v>54</v>
      </c>
      <c r="D26" s="211"/>
      <c r="E26" s="211"/>
      <c r="F26" s="211"/>
      <c r="G26" s="212"/>
      <c r="H26" s="116"/>
    </row>
    <row r="27" spans="2:9" ht="6" customHeight="1" thickBot="1">
      <c r="B27" s="114"/>
      <c r="C27" s="142"/>
      <c r="D27" s="142"/>
      <c r="E27" s="142"/>
      <c r="F27" s="142"/>
      <c r="G27" s="146"/>
      <c r="H27" s="116"/>
    </row>
    <row r="28" spans="2:9" ht="15">
      <c r="B28" s="114"/>
      <c r="C28" s="206" t="s">
        <v>61</v>
      </c>
      <c r="D28" s="207"/>
      <c r="E28" s="207"/>
      <c r="F28" s="147">
        <f>IF(F24&lt;F20,Calculations!B19,0)</f>
        <v>0</v>
      </c>
      <c r="G28" s="148" t="s">
        <v>58</v>
      </c>
      <c r="H28" s="116"/>
      <c r="I28" s="125"/>
    </row>
    <row r="29" spans="2:9">
      <c r="B29" s="114"/>
      <c r="C29" s="227" t="s">
        <v>62</v>
      </c>
      <c r="D29" s="228"/>
      <c r="E29" s="228"/>
      <c r="F29" s="225"/>
      <c r="G29" s="226"/>
      <c r="H29" s="116"/>
    </row>
    <row r="30" spans="2:9">
      <c r="B30" s="114"/>
      <c r="C30" s="227" t="s">
        <v>63</v>
      </c>
      <c r="D30" s="228"/>
      <c r="E30" s="228"/>
      <c r="F30" s="223">
        <f>IF(AND(F28&gt;500000,F28&lt;F29*0.5),500000,IF(AND(F28&lt;=0.5*F29,F28&lt;=15000),F28*0.75,IF(AND(F28&lt;=0.5*F29,F28&gt;=15000),F28,F29*0.5)))</f>
        <v>0</v>
      </c>
      <c r="G30" s="224"/>
      <c r="H30" s="116"/>
    </row>
    <row r="31" spans="2:9">
      <c r="B31" s="114"/>
      <c r="C31" s="227" t="s">
        <v>64</v>
      </c>
      <c r="D31" s="228"/>
      <c r="E31" s="228"/>
      <c r="F31" s="149"/>
      <c r="G31" s="150" t="s">
        <v>56</v>
      </c>
      <c r="H31" s="116"/>
    </row>
    <row r="32" spans="2:9" ht="15" thickBot="1">
      <c r="B32" s="114"/>
      <c r="C32" s="221" t="s">
        <v>65</v>
      </c>
      <c r="D32" s="222"/>
      <c r="E32" s="222"/>
      <c r="F32" s="151" t="str">
        <f>IFERROR((F29-F30)/(F28*F31),"")</f>
        <v/>
      </c>
      <c r="G32" s="152" t="s">
        <v>57</v>
      </c>
      <c r="H32" s="116"/>
    </row>
    <row r="33" spans="2:8" ht="6" customHeight="1" thickBot="1">
      <c r="B33" s="126"/>
      <c r="C33" s="127"/>
      <c r="D33" s="127"/>
      <c r="E33" s="128"/>
      <c r="F33" s="128"/>
      <c r="G33" s="128"/>
      <c r="H33" s="129"/>
    </row>
    <row r="34" spans="2:8" ht="15">
      <c r="C34" s="130"/>
      <c r="D34" s="130"/>
      <c r="E34" s="130"/>
      <c r="F34" s="130"/>
      <c r="G34" s="130"/>
    </row>
    <row r="35" spans="2:8" ht="15">
      <c r="C35" s="132"/>
      <c r="D35" s="130"/>
      <c r="E35" s="130"/>
      <c r="F35" s="130"/>
      <c r="G35" s="130"/>
    </row>
    <row r="36" spans="2:8" ht="15">
      <c r="C36" s="132" t="str">
        <f>IF(F22&lt;=135,"Warning: Leaving Stack Temp. is below condensing temperature!","")</f>
        <v/>
      </c>
      <c r="D36" s="130"/>
      <c r="E36" s="130"/>
      <c r="F36" s="130"/>
      <c r="G36" s="130"/>
    </row>
    <row r="37" spans="2:8" ht="15">
      <c r="C37" s="130"/>
      <c r="D37" s="130"/>
      <c r="E37" s="130"/>
      <c r="F37" s="130"/>
      <c r="G37" s="130"/>
    </row>
    <row r="38" spans="2:8" ht="15">
      <c r="C38" s="130"/>
      <c r="D38" s="130"/>
      <c r="E38" s="130"/>
      <c r="F38" s="130"/>
      <c r="G38" s="130"/>
    </row>
    <row r="39" spans="2:8" ht="15">
      <c r="C39" s="130"/>
      <c r="D39" s="130"/>
      <c r="E39" s="130"/>
      <c r="F39" s="130"/>
      <c r="G39" s="130"/>
    </row>
    <row r="40" spans="2:8" ht="15">
      <c r="C40" s="130"/>
      <c r="D40" s="130"/>
      <c r="E40" s="130"/>
      <c r="F40" s="130"/>
      <c r="G40" s="130"/>
    </row>
    <row r="41" spans="2:8" ht="15">
      <c r="C41" s="130"/>
      <c r="D41" s="130"/>
      <c r="E41" s="130"/>
      <c r="F41" s="130"/>
      <c r="G41" s="130"/>
    </row>
    <row r="42" spans="2:8" ht="15">
      <c r="C42" s="130"/>
      <c r="D42" s="130"/>
      <c r="E42" s="130"/>
      <c r="F42" s="130"/>
      <c r="G42" s="130"/>
    </row>
    <row r="43" spans="2:8" ht="15">
      <c r="C43" s="130"/>
      <c r="D43" s="130"/>
      <c r="E43" s="130"/>
      <c r="F43" s="130"/>
      <c r="G43" s="130"/>
    </row>
    <row r="44" spans="2:8" ht="15">
      <c r="C44" s="130"/>
      <c r="D44" s="130"/>
      <c r="E44" s="130"/>
      <c r="F44" s="130"/>
      <c r="G44" s="130"/>
    </row>
    <row r="45" spans="2:8" ht="15">
      <c r="C45" s="130"/>
      <c r="D45" s="130"/>
      <c r="E45" s="130"/>
      <c r="F45" s="130"/>
      <c r="G45" s="130"/>
    </row>
    <row r="46" spans="2:8" ht="15">
      <c r="C46" s="130"/>
      <c r="D46" s="130"/>
      <c r="E46" s="130"/>
      <c r="F46" s="130"/>
      <c r="G46" s="130"/>
    </row>
    <row r="47" spans="2:8" ht="15">
      <c r="C47" s="130"/>
      <c r="D47" s="130"/>
      <c r="E47" s="130"/>
      <c r="F47" s="130"/>
      <c r="G47" s="130"/>
    </row>
    <row r="48" spans="2:8" ht="15">
      <c r="C48" s="130"/>
      <c r="D48" s="130"/>
      <c r="E48" s="130"/>
      <c r="F48" s="130"/>
      <c r="G48" s="130"/>
    </row>
    <row r="49" spans="3:7" ht="15">
      <c r="C49" s="130"/>
      <c r="D49" s="130"/>
      <c r="E49" s="130"/>
      <c r="F49" s="130"/>
      <c r="G49" s="130"/>
    </row>
    <row r="50" spans="3:7" ht="15">
      <c r="C50" s="130"/>
      <c r="D50" s="130"/>
      <c r="E50" s="130"/>
      <c r="F50" s="130"/>
      <c r="G50" s="130"/>
    </row>
    <row r="51" spans="3:7" ht="15">
      <c r="C51" s="130"/>
      <c r="D51" s="130"/>
      <c r="E51" s="130"/>
      <c r="F51" s="130"/>
      <c r="G51" s="130"/>
    </row>
    <row r="52" spans="3:7" ht="15">
      <c r="C52" s="130"/>
      <c r="D52" s="130"/>
      <c r="E52" s="130"/>
      <c r="F52" s="130"/>
      <c r="G52" s="130"/>
    </row>
    <row r="53" spans="3:7" ht="15">
      <c r="C53" s="130"/>
      <c r="D53" s="130"/>
      <c r="E53" s="130"/>
      <c r="F53" s="130"/>
      <c r="G53" s="130"/>
    </row>
    <row r="54" spans="3:7" ht="15">
      <c r="C54" s="130"/>
      <c r="D54" s="130"/>
      <c r="E54" s="130"/>
      <c r="F54" s="130"/>
      <c r="G54" s="130"/>
    </row>
    <row r="55" spans="3:7" ht="15">
      <c r="C55" s="130"/>
      <c r="D55" s="130"/>
      <c r="E55" s="130"/>
      <c r="F55" s="130"/>
      <c r="G55" s="130"/>
    </row>
    <row r="56" spans="3:7" ht="15">
      <c r="C56" s="130"/>
      <c r="D56" s="130"/>
      <c r="E56" s="130"/>
      <c r="F56" s="130"/>
      <c r="G56" s="130"/>
    </row>
    <row r="57" spans="3:7" ht="15">
      <c r="C57" s="130"/>
      <c r="D57" s="130"/>
      <c r="E57" s="130"/>
      <c r="F57" s="130"/>
      <c r="G57" s="130"/>
    </row>
    <row r="58" spans="3:7" ht="15">
      <c r="C58" s="130"/>
      <c r="D58" s="130"/>
      <c r="E58" s="130"/>
      <c r="F58" s="130"/>
      <c r="G58" s="130"/>
    </row>
    <row r="59" spans="3:7" ht="15">
      <c r="C59" s="130"/>
      <c r="D59" s="130"/>
      <c r="E59" s="130"/>
      <c r="F59" s="130"/>
      <c r="G59" s="130"/>
    </row>
    <row r="60" spans="3:7" ht="15">
      <c r="C60" s="130"/>
      <c r="D60" s="130"/>
      <c r="E60" s="130"/>
      <c r="F60" s="130"/>
      <c r="G60" s="130"/>
    </row>
    <row r="61" spans="3:7" ht="15">
      <c r="C61" s="130"/>
      <c r="D61" s="130"/>
      <c r="E61" s="130"/>
      <c r="F61" s="130"/>
      <c r="G61" s="130"/>
    </row>
    <row r="62" spans="3:7" ht="15">
      <c r="C62" s="130"/>
      <c r="D62" s="130"/>
      <c r="E62" s="130"/>
      <c r="F62" s="130"/>
      <c r="G62" s="130"/>
    </row>
    <row r="63" spans="3:7" ht="15">
      <c r="C63" s="130"/>
      <c r="D63" s="130"/>
      <c r="E63" s="130"/>
      <c r="F63" s="130"/>
      <c r="G63" s="130"/>
    </row>
    <row r="64" spans="3:7" ht="15">
      <c r="C64" s="130"/>
      <c r="D64" s="130"/>
      <c r="E64" s="130"/>
      <c r="F64" s="130"/>
      <c r="G64" s="130"/>
    </row>
    <row r="65" spans="3:7" ht="15">
      <c r="C65" s="130"/>
      <c r="D65" s="130"/>
      <c r="E65" s="130"/>
      <c r="F65" s="130"/>
      <c r="G65" s="130"/>
    </row>
    <row r="66" spans="3:7" ht="15">
      <c r="C66" s="130"/>
      <c r="D66" s="130"/>
      <c r="E66" s="130"/>
      <c r="F66" s="130"/>
      <c r="G66" s="130"/>
    </row>
    <row r="67" spans="3:7" ht="15">
      <c r="C67" s="130"/>
      <c r="D67" s="130"/>
      <c r="E67" s="130"/>
      <c r="F67" s="130"/>
      <c r="G67" s="130"/>
    </row>
    <row r="68" spans="3:7" ht="15">
      <c r="C68" s="130"/>
      <c r="D68" s="130"/>
      <c r="E68" s="130"/>
      <c r="F68" s="130"/>
      <c r="G68" s="130"/>
    </row>
    <row r="69" spans="3:7" ht="15">
      <c r="C69" s="130"/>
      <c r="D69" s="130"/>
      <c r="E69" s="130"/>
      <c r="F69" s="130"/>
      <c r="G69" s="130"/>
    </row>
    <row r="70" spans="3:7" ht="15">
      <c r="C70" s="130"/>
      <c r="D70" s="130"/>
      <c r="E70" s="130"/>
      <c r="F70" s="130"/>
      <c r="G70" s="130"/>
    </row>
    <row r="71" spans="3:7" ht="15">
      <c r="C71" s="130"/>
      <c r="D71" s="130"/>
      <c r="E71" s="130"/>
      <c r="F71" s="130"/>
      <c r="G71" s="130"/>
    </row>
    <row r="72" spans="3:7" ht="15">
      <c r="C72" s="130"/>
      <c r="D72" s="130"/>
      <c r="E72" s="130"/>
      <c r="F72" s="130"/>
      <c r="G72" s="130"/>
    </row>
    <row r="73" spans="3:7" ht="15">
      <c r="C73" s="130"/>
      <c r="D73" s="130"/>
      <c r="E73" s="130"/>
      <c r="F73" s="130"/>
      <c r="G73" s="130"/>
    </row>
    <row r="74" spans="3:7" ht="15">
      <c r="C74" s="130"/>
      <c r="D74" s="130"/>
      <c r="E74" s="130"/>
      <c r="F74" s="130"/>
      <c r="G74" s="130"/>
    </row>
    <row r="75" spans="3:7" ht="15">
      <c r="C75" s="130"/>
      <c r="D75" s="130"/>
      <c r="E75" s="130"/>
      <c r="F75" s="130"/>
      <c r="G75" s="130"/>
    </row>
    <row r="76" spans="3:7" ht="15">
      <c r="C76" s="130"/>
      <c r="D76" s="130"/>
      <c r="E76" s="130"/>
      <c r="F76" s="130"/>
      <c r="G76" s="130"/>
    </row>
    <row r="77" spans="3:7" ht="15">
      <c r="C77" s="130"/>
      <c r="D77" s="130"/>
      <c r="E77" s="130"/>
      <c r="F77" s="130"/>
      <c r="G77" s="130"/>
    </row>
    <row r="78" spans="3:7" ht="15">
      <c r="C78" s="130"/>
      <c r="D78" s="130"/>
      <c r="E78" s="130"/>
      <c r="F78" s="130"/>
      <c r="G78" s="130"/>
    </row>
    <row r="79" spans="3:7" ht="15">
      <c r="C79" s="130"/>
      <c r="D79" s="130"/>
      <c r="E79" s="130"/>
      <c r="F79" s="130"/>
      <c r="G79" s="130"/>
    </row>
    <row r="80" spans="3:7" ht="15">
      <c r="C80" s="130"/>
      <c r="D80" s="130"/>
      <c r="E80" s="130"/>
      <c r="F80" s="130"/>
      <c r="G80" s="130"/>
    </row>
    <row r="81" spans="3:7" ht="15">
      <c r="C81" s="130"/>
      <c r="D81" s="130"/>
      <c r="E81" s="130"/>
      <c r="F81" s="130"/>
      <c r="G81" s="130"/>
    </row>
    <row r="82" spans="3:7" ht="15">
      <c r="C82" s="130"/>
      <c r="D82" s="130"/>
      <c r="E82" s="130"/>
      <c r="F82" s="130"/>
      <c r="G82" s="130"/>
    </row>
    <row r="83" spans="3:7" ht="15">
      <c r="C83" s="130"/>
      <c r="D83" s="130"/>
      <c r="E83" s="130"/>
      <c r="F83" s="130"/>
      <c r="G83" s="130"/>
    </row>
    <row r="84" spans="3:7" ht="15">
      <c r="C84" s="130"/>
      <c r="D84" s="130"/>
      <c r="E84" s="130"/>
      <c r="F84" s="130"/>
      <c r="G84" s="130"/>
    </row>
    <row r="85" spans="3:7" ht="15">
      <c r="C85" s="130"/>
      <c r="D85" s="130"/>
      <c r="E85" s="130"/>
      <c r="F85" s="130"/>
      <c r="G85" s="130"/>
    </row>
    <row r="86" spans="3:7" ht="15">
      <c r="C86" s="130"/>
      <c r="D86" s="130"/>
      <c r="E86" s="130"/>
      <c r="F86" s="130"/>
      <c r="G86" s="130"/>
    </row>
    <row r="87" spans="3:7" ht="15">
      <c r="C87" s="130"/>
      <c r="D87" s="130"/>
      <c r="E87" s="130"/>
      <c r="F87" s="130"/>
      <c r="G87" s="130"/>
    </row>
    <row r="88" spans="3:7" ht="15">
      <c r="C88" s="130"/>
      <c r="D88" s="130"/>
      <c r="E88" s="130"/>
      <c r="F88" s="130"/>
      <c r="G88" s="130"/>
    </row>
    <row r="89" spans="3:7" ht="15">
      <c r="C89" s="130"/>
      <c r="D89" s="130"/>
      <c r="E89" s="130"/>
      <c r="F89" s="130"/>
      <c r="G89" s="130"/>
    </row>
    <row r="90" spans="3:7" ht="15">
      <c r="C90" s="130"/>
      <c r="D90" s="130"/>
      <c r="E90" s="130"/>
      <c r="F90" s="130"/>
      <c r="G90" s="130"/>
    </row>
    <row r="91" spans="3:7" ht="15">
      <c r="C91" s="130"/>
      <c r="D91" s="130"/>
      <c r="E91" s="130"/>
      <c r="F91" s="130"/>
      <c r="G91" s="130"/>
    </row>
    <row r="92" spans="3:7" ht="15">
      <c r="C92" s="130"/>
      <c r="D92" s="130"/>
      <c r="E92" s="130"/>
      <c r="F92" s="130"/>
      <c r="G92" s="130"/>
    </row>
    <row r="93" spans="3:7" ht="15">
      <c r="C93" s="130"/>
      <c r="D93" s="130"/>
      <c r="E93" s="130"/>
      <c r="F93" s="130"/>
      <c r="G93" s="130"/>
    </row>
    <row r="94" spans="3:7" ht="15">
      <c r="C94" s="130"/>
      <c r="D94" s="130"/>
      <c r="E94" s="130"/>
      <c r="F94" s="130"/>
      <c r="G94" s="130"/>
    </row>
    <row r="95" spans="3:7" ht="15">
      <c r="C95" s="130"/>
      <c r="D95" s="130"/>
      <c r="E95" s="130"/>
      <c r="F95" s="130"/>
      <c r="G95" s="130"/>
    </row>
    <row r="96" spans="3:7" ht="15">
      <c r="C96" s="130"/>
      <c r="D96" s="130"/>
      <c r="E96" s="130"/>
      <c r="F96" s="130"/>
      <c r="G96" s="130"/>
    </row>
    <row r="97" spans="3:7" ht="15">
      <c r="C97" s="130"/>
      <c r="D97" s="130"/>
      <c r="E97" s="130"/>
      <c r="F97" s="130"/>
      <c r="G97" s="130"/>
    </row>
    <row r="98" spans="3:7" ht="15">
      <c r="C98" s="130"/>
      <c r="D98" s="130"/>
      <c r="E98" s="130"/>
      <c r="F98" s="130"/>
      <c r="G98" s="130"/>
    </row>
    <row r="99" spans="3:7" ht="15">
      <c r="C99" s="130"/>
      <c r="D99" s="130"/>
      <c r="E99" s="130"/>
      <c r="F99" s="130"/>
      <c r="G99" s="130"/>
    </row>
    <row r="100" spans="3:7" ht="15">
      <c r="C100" s="130"/>
      <c r="D100" s="130"/>
      <c r="E100" s="130"/>
      <c r="F100" s="130"/>
      <c r="G100" s="130"/>
    </row>
    <row r="101" spans="3:7" ht="15">
      <c r="C101" s="130"/>
      <c r="D101" s="130"/>
      <c r="E101" s="130"/>
      <c r="F101" s="130"/>
      <c r="G101" s="130"/>
    </row>
    <row r="102" spans="3:7" ht="15">
      <c r="C102" s="130"/>
      <c r="D102" s="130"/>
      <c r="E102" s="130"/>
      <c r="F102" s="130"/>
      <c r="G102" s="130"/>
    </row>
    <row r="103" spans="3:7" ht="15">
      <c r="C103" s="130"/>
      <c r="D103" s="130"/>
      <c r="E103" s="130"/>
      <c r="F103" s="130"/>
      <c r="G103" s="130"/>
    </row>
    <row r="104" spans="3:7" ht="15">
      <c r="C104" s="130"/>
      <c r="D104" s="130"/>
      <c r="E104" s="130"/>
      <c r="F104" s="130"/>
      <c r="G104" s="130"/>
    </row>
    <row r="105" spans="3:7" ht="15">
      <c r="C105" s="130"/>
      <c r="D105" s="130"/>
      <c r="E105" s="130"/>
      <c r="F105" s="130"/>
      <c r="G105" s="130"/>
    </row>
    <row r="106" spans="3:7" ht="15">
      <c r="C106" s="130"/>
      <c r="D106" s="130"/>
      <c r="E106" s="130"/>
      <c r="F106" s="130"/>
      <c r="G106" s="130"/>
    </row>
    <row r="107" spans="3:7" ht="15">
      <c r="C107" s="130"/>
      <c r="D107" s="130"/>
      <c r="E107" s="130"/>
      <c r="F107" s="130"/>
      <c r="G107" s="130"/>
    </row>
    <row r="108" spans="3:7" ht="15">
      <c r="C108" s="130"/>
      <c r="D108" s="130"/>
      <c r="E108" s="130"/>
      <c r="F108" s="130"/>
      <c r="G108" s="130"/>
    </row>
    <row r="109" spans="3:7" ht="15">
      <c r="C109" s="130"/>
      <c r="D109" s="130"/>
      <c r="E109" s="130"/>
      <c r="F109" s="130"/>
      <c r="G109" s="130"/>
    </row>
    <row r="110" spans="3:7" ht="15">
      <c r="C110" s="130"/>
      <c r="D110" s="130"/>
      <c r="E110" s="130"/>
      <c r="F110" s="130"/>
      <c r="G110" s="130"/>
    </row>
    <row r="111" spans="3:7" ht="15">
      <c r="C111" s="130"/>
      <c r="D111" s="130"/>
      <c r="E111" s="130"/>
      <c r="F111" s="130"/>
      <c r="G111" s="130"/>
    </row>
    <row r="112" spans="3:7" ht="15">
      <c r="C112" s="130"/>
      <c r="D112" s="130"/>
      <c r="E112" s="130"/>
      <c r="F112" s="130"/>
      <c r="G112" s="130"/>
    </row>
    <row r="113" spans="3:7" ht="15">
      <c r="C113" s="130"/>
      <c r="D113" s="130"/>
      <c r="E113" s="130"/>
      <c r="F113" s="130"/>
      <c r="G113" s="130"/>
    </row>
    <row r="114" spans="3:7" ht="15">
      <c r="C114" s="130"/>
      <c r="D114" s="130"/>
      <c r="E114" s="130"/>
      <c r="F114" s="130"/>
      <c r="G114" s="130"/>
    </row>
    <row r="115" spans="3:7" ht="15">
      <c r="C115" s="130"/>
      <c r="D115" s="130"/>
      <c r="E115" s="130"/>
      <c r="F115" s="130"/>
      <c r="G115" s="130"/>
    </row>
    <row r="116" spans="3:7" ht="15">
      <c r="C116" s="130"/>
      <c r="D116" s="130"/>
      <c r="E116" s="130"/>
      <c r="F116" s="130"/>
      <c r="G116" s="130"/>
    </row>
    <row r="117" spans="3:7" ht="15">
      <c r="C117" s="130"/>
      <c r="D117" s="130"/>
      <c r="E117" s="130"/>
      <c r="F117" s="130"/>
      <c r="G117" s="130"/>
    </row>
    <row r="118" spans="3:7" ht="15">
      <c r="C118" s="130"/>
      <c r="D118" s="130"/>
      <c r="E118" s="130"/>
      <c r="F118" s="130"/>
      <c r="G118" s="130"/>
    </row>
    <row r="119" spans="3:7" ht="15">
      <c r="C119" s="130"/>
      <c r="D119" s="130"/>
      <c r="E119" s="130"/>
      <c r="F119" s="130"/>
      <c r="G119" s="130"/>
    </row>
    <row r="120" spans="3:7" ht="15">
      <c r="C120" s="130"/>
      <c r="D120" s="130"/>
      <c r="E120" s="130"/>
      <c r="F120" s="130"/>
      <c r="G120" s="130"/>
    </row>
    <row r="121" spans="3:7" ht="15">
      <c r="C121" s="130"/>
      <c r="D121" s="130"/>
      <c r="E121" s="130"/>
      <c r="F121" s="130"/>
      <c r="G121" s="130"/>
    </row>
    <row r="122" spans="3:7" ht="15">
      <c r="C122" s="130"/>
      <c r="D122" s="130"/>
      <c r="E122" s="130"/>
      <c r="F122" s="130"/>
      <c r="G122" s="130"/>
    </row>
    <row r="123" spans="3:7" ht="15">
      <c r="C123" s="130"/>
      <c r="D123" s="130"/>
      <c r="E123" s="130"/>
      <c r="F123" s="130"/>
      <c r="G123" s="130"/>
    </row>
    <row r="124" spans="3:7" ht="15">
      <c r="C124" s="130"/>
      <c r="D124" s="130"/>
      <c r="E124" s="130"/>
      <c r="F124" s="130"/>
      <c r="G124" s="130"/>
    </row>
  </sheetData>
  <sheetProtection password="998D" sheet="1" objects="1" scenarios="1"/>
  <protectedRanges>
    <protectedRange sqref="G10" name="Range6"/>
    <protectedRange sqref="F10:F11 F31 F14:F16" name="Range1"/>
    <protectedRange sqref="F12:G12" name="Range2"/>
    <protectedRange sqref="F13:G13" name="Range3"/>
    <protectedRange sqref="F29:G29" name="Range5"/>
  </protectedRanges>
  <mergeCells count="25">
    <mergeCell ref="C3:D6"/>
    <mergeCell ref="C26:G26"/>
    <mergeCell ref="C20:E20"/>
    <mergeCell ref="C21:E21"/>
    <mergeCell ref="C22:E22"/>
    <mergeCell ref="C31:E31"/>
    <mergeCell ref="C32:E32"/>
    <mergeCell ref="F30:G30"/>
    <mergeCell ref="F29:G29"/>
    <mergeCell ref="C29:E29"/>
    <mergeCell ref="C30:E30"/>
    <mergeCell ref="C8:G8"/>
    <mergeCell ref="C11:E11"/>
    <mergeCell ref="C28:E28"/>
    <mergeCell ref="C16:E16"/>
    <mergeCell ref="C18:G18"/>
    <mergeCell ref="C15:E15"/>
    <mergeCell ref="C10:E10"/>
    <mergeCell ref="C13:E13"/>
    <mergeCell ref="C14:E14"/>
    <mergeCell ref="C12:E12"/>
    <mergeCell ref="C23:E23"/>
    <mergeCell ref="C24:E24"/>
    <mergeCell ref="F12:G12"/>
    <mergeCell ref="F13:G13"/>
  </mergeCells>
  <conditionalFormatting sqref="F10">
    <cfRule type="expression" dxfId="9" priority="19">
      <formula>$F$10=""</formula>
    </cfRule>
  </conditionalFormatting>
  <conditionalFormatting sqref="F13">
    <cfRule type="expression" dxfId="8" priority="17">
      <formula>F13=""</formula>
    </cfRule>
  </conditionalFormatting>
  <conditionalFormatting sqref="F14">
    <cfRule type="expression" dxfId="7" priority="16">
      <formula>F14=""</formula>
    </cfRule>
  </conditionalFormatting>
  <conditionalFormatting sqref="F16">
    <cfRule type="expression" dxfId="6" priority="13">
      <formula>F16=""</formula>
    </cfRule>
  </conditionalFormatting>
  <conditionalFormatting sqref="F15">
    <cfRule type="expression" dxfId="5" priority="11">
      <formula>F15=""</formula>
    </cfRule>
  </conditionalFormatting>
  <conditionalFormatting sqref="F29">
    <cfRule type="expression" dxfId="4" priority="9">
      <formula>F29=""</formula>
    </cfRule>
  </conditionalFormatting>
  <conditionalFormatting sqref="F11">
    <cfRule type="expression" dxfId="3" priority="5">
      <formula>$F$11=""</formula>
    </cfRule>
  </conditionalFormatting>
  <conditionalFormatting sqref="F12">
    <cfRule type="expression" dxfId="2" priority="4">
      <formula>$F$12=""</formula>
    </cfRule>
  </conditionalFormatting>
  <conditionalFormatting sqref="F31">
    <cfRule type="expression" dxfId="1" priority="3">
      <formula>$F$31=""</formula>
    </cfRule>
  </conditionalFormatting>
  <conditionalFormatting sqref="C22:F24">
    <cfRule type="expression" dxfId="0" priority="1">
      <formula>$C$36&lt;&gt;""</formula>
    </cfRule>
  </conditionalFormatting>
  <dataValidations count="1">
    <dataValidation type="list" allowBlank="1" showInputMessage="1" showErrorMessage="1" sqref="G10">
      <formula1>$R$4:$R$5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9"/>
  <sheetViews>
    <sheetView workbookViewId="0">
      <selection activeCell="C15" sqref="C15"/>
    </sheetView>
  </sheetViews>
  <sheetFormatPr defaultRowHeight="14.25"/>
  <cols>
    <col min="1" max="1" width="2.7109375" style="83" customWidth="1"/>
    <col min="2" max="2" width="21.42578125" style="83" bestFit="1" customWidth="1"/>
    <col min="3" max="3" width="28.5703125" style="83" bestFit="1" customWidth="1"/>
    <col min="4" max="4" width="16.5703125" style="83" bestFit="1" customWidth="1"/>
    <col min="5" max="5" width="9.140625" style="83"/>
    <col min="6" max="6" width="12.7109375" style="83" bestFit="1" customWidth="1"/>
    <col min="7" max="24" width="9.140625" style="83"/>
    <col min="25" max="25" width="9.140625" style="83" customWidth="1"/>
    <col min="26" max="26" width="9.28515625" style="83" customWidth="1"/>
    <col min="27" max="27" width="28.5703125" style="83" customWidth="1"/>
    <col min="28" max="28" width="9.140625" style="83" customWidth="1"/>
    <col min="29" max="16384" width="9.140625" style="83"/>
  </cols>
  <sheetData>
    <row r="1" spans="2:28" ht="15" thickBot="1">
      <c r="AA1" s="84" t="s">
        <v>2</v>
      </c>
      <c r="AB1" s="84" t="s">
        <v>3</v>
      </c>
    </row>
    <row r="2" spans="2:28" ht="15.75" thickBot="1">
      <c r="B2" s="85" t="s">
        <v>4</v>
      </c>
      <c r="C2" s="86" t="s">
        <v>5</v>
      </c>
      <c r="D2" s="87" t="s">
        <v>6</v>
      </c>
      <c r="AA2" s="84" t="s">
        <v>7</v>
      </c>
      <c r="AB2" s="84" t="s">
        <v>8</v>
      </c>
    </row>
    <row r="3" spans="2:28">
      <c r="B3" s="88" t="s">
        <v>9</v>
      </c>
      <c r="C3" s="89" t="s">
        <v>1</v>
      </c>
      <c r="D3" s="90" t="s">
        <v>3</v>
      </c>
      <c r="AA3" s="84" t="s">
        <v>10</v>
      </c>
      <c r="AB3" s="84" t="s">
        <v>11</v>
      </c>
    </row>
    <row r="4" spans="2:28">
      <c r="B4" s="88" t="s">
        <v>12</v>
      </c>
      <c r="C4" s="99">
        <f>'Flue Stack Economizer'!F16</f>
        <v>0</v>
      </c>
      <c r="D4" s="100">
        <f>'Flue Stack Economizer'!F15</f>
        <v>0</v>
      </c>
    </row>
    <row r="5" spans="2:28">
      <c r="B5" s="88" t="s">
        <v>13</v>
      </c>
      <c r="C5" s="99" t="str">
        <f>'Flue Stack Economizer'!F22</f>
        <v/>
      </c>
      <c r="D5" s="100" t="e">
        <f>'Flue Stack Economizer'!#REF!</f>
        <v>#REF!</v>
      </c>
    </row>
    <row r="6" spans="2:28">
      <c r="B6" s="88" t="s">
        <v>14</v>
      </c>
      <c r="C6" s="99" t="str">
        <f>'Flue Stack Economizer'!F21</f>
        <v/>
      </c>
      <c r="D6" s="100" t="e">
        <f>'Flue Stack Economizer'!#REF!*0.13368</f>
        <v>#REF!</v>
      </c>
    </row>
    <row r="7" spans="2:28">
      <c r="B7" s="88" t="s">
        <v>49</v>
      </c>
      <c r="C7" s="101">
        <f>IF(C3="Air",0.075,IF(C3="Water",62,IF(C3="Engine Oil",56.8,0)))</f>
        <v>7.4999999999999997E-2</v>
      </c>
      <c r="D7" s="102">
        <f>IF(D3="Air",0.075,IF(D3="Water",62,IF(D3="Engine Oil",56.8,0)))</f>
        <v>62</v>
      </c>
    </row>
    <row r="8" spans="2:28" ht="19.5" thickBot="1">
      <c r="B8" s="91" t="s">
        <v>50</v>
      </c>
      <c r="C8" s="103">
        <f>IF(C3="Air",0.24,IF(C3="Water",1,IF(C3="Engine Oil",0.43,0)))</f>
        <v>0.24</v>
      </c>
      <c r="D8" s="104">
        <f>IF(D3="Air",0.24,IF(D3="Water",1,IF(D3="Engine Oil",0.43,0)))</f>
        <v>1</v>
      </c>
    </row>
    <row r="9" spans="2:28" ht="15" thickBot="1"/>
    <row r="10" spans="2:28">
      <c r="B10" s="92" t="s">
        <v>15</v>
      </c>
      <c r="C10" s="93" t="s">
        <v>10</v>
      </c>
      <c r="E10" s="94"/>
      <c r="F10" s="94"/>
    </row>
    <row r="11" spans="2:28">
      <c r="B11" s="88" t="s">
        <v>16</v>
      </c>
      <c r="C11" s="105" t="e">
        <f>((C4-C5)-(D5-D4))/LN((C4-C5)/(D5-D4))</f>
        <v>#VALUE!</v>
      </c>
      <c r="E11" s="94"/>
      <c r="F11" s="94"/>
    </row>
    <row r="12" spans="2:28" ht="18.75">
      <c r="B12" s="88" t="s">
        <v>51</v>
      </c>
      <c r="C12" s="105" t="e">
        <f>IF((C6*C7*C8)&lt;(D6*D7*D8),C6*C7*C8,D6*D7*D8)</f>
        <v>#VALUE!</v>
      </c>
      <c r="E12" s="94"/>
      <c r="F12" s="94"/>
    </row>
    <row r="13" spans="2:28" ht="18.75">
      <c r="B13" s="88" t="s">
        <v>52</v>
      </c>
      <c r="C13" s="105" t="e">
        <f>IF((C6*C7*C8)&lt;(D6*D7*D8),C12/(D6*D7*D8),C12/(C6*C7*C8))</f>
        <v>#VALUE!</v>
      </c>
      <c r="E13" s="94"/>
      <c r="F13" s="94"/>
    </row>
    <row r="14" spans="2:28">
      <c r="B14" s="88" t="s">
        <v>17</v>
      </c>
      <c r="C14" s="105" t="e">
        <f>IF((C6*C7*C8)&gt;(D6*D7*D8),(D6*D7*D8*(D5-D4))/C11,(C6*C7*C8*(C4-C5))/C11)</f>
        <v>#VALUE!</v>
      </c>
      <c r="E14" s="94"/>
      <c r="F14" s="94"/>
    </row>
    <row r="15" spans="2:28" ht="15" thickBot="1">
      <c r="B15" s="88" t="s">
        <v>18</v>
      </c>
      <c r="C15" s="105" t="e">
        <f>C14/C12</f>
        <v>#VALUE!</v>
      </c>
      <c r="E15" s="94"/>
      <c r="F15" s="94"/>
    </row>
    <row r="16" spans="2:28" ht="15.75" thickBot="1">
      <c r="B16" s="95" t="s">
        <v>19</v>
      </c>
      <c r="C16" s="106" t="e">
        <f>IF(C10="Concentric Tube, Parallel Flow",(1-EXP(-C15*(1-C13)))/(1+C13),IF(C10="Concentric Tube, Counter Flow",(1-EXP(-C15*(1-C13)))/(1-C13*EXP(-C15*(1-C13))),IF(AND(C10="Concentric Tube, Counter Flow",C13=1),(C15/(1+C15)),IF(C10="Shell &amp; Tube (Single Shell Pass)",2*((1+C13+(1+C13^2)^0.5)*(1+EXP(-C15*(1+C13^2)^0.5))/(1-EXP(-C15*(1+C13^2)^0.5)))^-1,IF(C10="Cross Flow, Unmixed",1-EXP((1/C13)*C15^0.22*(EXP(-C13*C15^0.78)-1)),0)))))</f>
        <v>#VALUE!</v>
      </c>
      <c r="E16" s="94"/>
      <c r="F16" s="96"/>
    </row>
    <row r="17" spans="2:6">
      <c r="E17" s="94"/>
      <c r="F17" s="94"/>
    </row>
    <row r="18" spans="2:6">
      <c r="E18" s="94"/>
      <c r="F18" s="94"/>
    </row>
    <row r="19" spans="2:6" ht="15">
      <c r="B19" s="97"/>
    </row>
  </sheetData>
  <dataValidations count="2">
    <dataValidation type="list" allowBlank="1" showInputMessage="1" showErrorMessage="1" sqref="C3:D3">
      <formula1>$AB$1:$AB$2</formula1>
    </dataValidation>
    <dataValidation type="list" allowBlank="1" showInputMessage="1" showErrorMessage="1" sqref="C10">
      <formula1>$AA$1:$AA$3</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8"/>
  <sheetViews>
    <sheetView workbookViewId="0">
      <selection activeCell="C3" sqref="C3"/>
    </sheetView>
  </sheetViews>
  <sheetFormatPr defaultRowHeight="15"/>
  <cols>
    <col min="1" max="1" width="2.5703125" style="12" customWidth="1"/>
    <col min="2" max="2" width="22.42578125" style="12" bestFit="1" customWidth="1"/>
    <col min="3" max="5" width="11.140625" style="12" bestFit="1" customWidth="1"/>
    <col min="6" max="6" width="12" style="12" bestFit="1" customWidth="1"/>
    <col min="7" max="7" width="12.7109375" style="12" bestFit="1" customWidth="1"/>
    <col min="8" max="8" width="11.85546875" style="12" bestFit="1" customWidth="1"/>
    <col min="9" max="9" width="12.42578125" style="12" customWidth="1"/>
    <col min="10" max="10" width="11.5703125" style="12" bestFit="1" customWidth="1"/>
    <col min="11" max="11" width="21.7109375" style="51" bestFit="1" customWidth="1"/>
    <col min="12" max="13" width="12.42578125" style="51" bestFit="1" customWidth="1"/>
    <col min="14" max="14" width="11.140625" style="51" customWidth="1"/>
    <col min="15" max="15" width="14.5703125" style="51" bestFit="1" customWidth="1"/>
    <col min="16" max="16" width="22.7109375" style="12" bestFit="1" customWidth="1"/>
    <col min="17" max="17" width="18.42578125" style="12" bestFit="1" customWidth="1"/>
    <col min="18" max="18" width="12" style="12" bestFit="1" customWidth="1"/>
    <col min="19" max="16384" width="9.140625" style="12"/>
  </cols>
  <sheetData>
    <row r="1" spans="2:17" ht="15.75" thickBot="1">
      <c r="B1" s="12" t="s">
        <v>22</v>
      </c>
    </row>
    <row r="2" spans="2:17" ht="45">
      <c r="B2" s="19" t="s">
        <v>23</v>
      </c>
      <c r="C2" s="20" t="s">
        <v>24</v>
      </c>
      <c r="D2" s="21" t="s">
        <v>25</v>
      </c>
      <c r="F2" s="22" t="s">
        <v>26</v>
      </c>
      <c r="G2" s="23" t="s">
        <v>27</v>
      </c>
      <c r="H2" s="23" t="s">
        <v>28</v>
      </c>
      <c r="I2" s="24" t="s">
        <v>29</v>
      </c>
      <c r="J2" s="25"/>
      <c r="K2" s="25"/>
      <c r="L2" s="71"/>
      <c r="M2" s="25"/>
      <c r="N2" s="25"/>
      <c r="O2" s="25"/>
      <c r="P2" s="25"/>
      <c r="Q2" s="25"/>
    </row>
    <row r="3" spans="2:17">
      <c r="B3" s="26" t="s">
        <v>30</v>
      </c>
      <c r="C3" s="27">
        <f>21500*I10*H10</f>
        <v>1935000</v>
      </c>
      <c r="D3" s="28" t="s">
        <v>31</v>
      </c>
      <c r="F3" s="29"/>
      <c r="G3" s="30"/>
      <c r="H3" s="30"/>
      <c r="I3" s="31"/>
      <c r="J3" s="32"/>
      <c r="K3" s="46"/>
      <c r="L3" s="32"/>
      <c r="M3" s="33"/>
    </row>
    <row r="4" spans="2:17">
      <c r="B4" s="26" t="s">
        <v>32</v>
      </c>
      <c r="C4" s="34">
        <f>'Flue Stack Economizer'!F14+14.7</f>
        <v>14.7</v>
      </c>
      <c r="D4" s="28" t="s">
        <v>33</v>
      </c>
      <c r="F4" s="26" t="s">
        <v>34</v>
      </c>
      <c r="G4" s="35">
        <v>-38818</v>
      </c>
      <c r="H4" s="36">
        <v>30</v>
      </c>
      <c r="I4" s="37">
        <f>C9/100</f>
        <v>0</v>
      </c>
      <c r="J4" s="32"/>
      <c r="K4" s="46"/>
      <c r="L4" s="32"/>
      <c r="M4" s="33"/>
    </row>
    <row r="5" spans="2:17">
      <c r="B5" s="1" t="s">
        <v>35</v>
      </c>
      <c r="C5" s="2">
        <v>70</v>
      </c>
      <c r="D5" s="3" t="s">
        <v>0</v>
      </c>
      <c r="F5" s="26" t="s">
        <v>36</v>
      </c>
      <c r="G5" s="27">
        <v>0</v>
      </c>
      <c r="H5" s="38">
        <v>28</v>
      </c>
      <c r="I5" s="37">
        <f>C11*100-(I4/2)</f>
        <v>87.999999999999986</v>
      </c>
      <c r="J5" s="39"/>
      <c r="K5" s="52"/>
      <c r="L5" s="39"/>
      <c r="M5" s="40"/>
      <c r="N5" s="32"/>
    </row>
    <row r="6" spans="2:17">
      <c r="B6" s="1" t="s">
        <v>37</v>
      </c>
      <c r="C6" s="4">
        <f>'Flue Stack Economizer'!F16</f>
        <v>0</v>
      </c>
      <c r="D6" s="3" t="s">
        <v>0</v>
      </c>
      <c r="F6" s="42" t="s">
        <v>38</v>
      </c>
      <c r="G6" s="43">
        <v>0</v>
      </c>
      <c r="H6" s="44">
        <v>32</v>
      </c>
      <c r="I6" s="45">
        <f>C7*100</f>
        <v>7.0000000000000009</v>
      </c>
      <c r="J6" s="39"/>
      <c r="K6" s="52"/>
      <c r="L6" s="40"/>
      <c r="M6" s="40"/>
      <c r="N6" s="33"/>
    </row>
    <row r="7" spans="2:17">
      <c r="B7" s="5" t="s">
        <v>38</v>
      </c>
      <c r="C7" s="6">
        <v>7.0000000000000007E-2</v>
      </c>
      <c r="D7" s="3" t="s">
        <v>20</v>
      </c>
      <c r="F7" s="42" t="s">
        <v>39</v>
      </c>
      <c r="G7" s="43">
        <v>-169300</v>
      </c>
      <c r="H7" s="44">
        <v>44</v>
      </c>
      <c r="I7" s="45">
        <f>C8*100</f>
        <v>5</v>
      </c>
      <c r="J7" s="32"/>
      <c r="K7" s="46"/>
      <c r="L7" s="33"/>
      <c r="M7" s="33"/>
    </row>
    <row r="8" spans="2:17">
      <c r="B8" s="1" t="s">
        <v>39</v>
      </c>
      <c r="C8" s="6">
        <v>0.05</v>
      </c>
      <c r="D8" s="3" t="s">
        <v>20</v>
      </c>
      <c r="F8" s="26" t="s">
        <v>40</v>
      </c>
      <c r="G8" s="27">
        <v>-47540</v>
      </c>
      <c r="H8" s="38">
        <v>28</v>
      </c>
      <c r="I8" s="37">
        <f>C10/100</f>
        <v>0</v>
      </c>
      <c r="J8" s="32"/>
      <c r="K8" s="46"/>
      <c r="L8" s="33"/>
      <c r="M8" s="33"/>
    </row>
    <row r="9" spans="2:17" ht="15.75" thickBot="1">
      <c r="B9" s="1" t="s">
        <v>34</v>
      </c>
      <c r="C9" s="7">
        <v>0</v>
      </c>
      <c r="D9" s="3" t="s">
        <v>41</v>
      </c>
      <c r="F9" s="47" t="s">
        <v>42</v>
      </c>
      <c r="G9" s="48">
        <v>-104040</v>
      </c>
      <c r="H9" s="49">
        <v>18</v>
      </c>
      <c r="I9" s="50">
        <f>3.8*I10/2</f>
        <v>9.5</v>
      </c>
      <c r="J9" s="51"/>
      <c r="K9" s="52"/>
      <c r="L9" s="53"/>
      <c r="M9" s="53"/>
      <c r="N9" s="54"/>
    </row>
    <row r="10" spans="2:17">
      <c r="B10" s="1" t="s">
        <v>40</v>
      </c>
      <c r="C10" s="8">
        <v>0</v>
      </c>
      <c r="D10" s="3" t="s">
        <v>41</v>
      </c>
      <c r="F10" s="22" t="s">
        <v>43</v>
      </c>
      <c r="G10" s="55">
        <v>-32210</v>
      </c>
      <c r="H10" s="56">
        <v>18</v>
      </c>
      <c r="I10" s="57">
        <f>I7+I8</f>
        <v>5</v>
      </c>
      <c r="K10" s="32"/>
      <c r="L10" s="53"/>
      <c r="M10" s="53"/>
    </row>
    <row r="11" spans="2:17">
      <c r="B11" s="26" t="s">
        <v>36</v>
      </c>
      <c r="C11" s="58">
        <f>1-C7-C8-C9/10000-C10/10000</f>
        <v>0.87999999999999989</v>
      </c>
      <c r="D11" s="28" t="s">
        <v>20</v>
      </c>
      <c r="F11" s="26" t="s">
        <v>38</v>
      </c>
      <c r="G11" s="43">
        <v>0</v>
      </c>
      <c r="H11" s="44">
        <v>32</v>
      </c>
      <c r="I11" s="37">
        <f>I12/3.76</f>
        <v>23.337765957446805</v>
      </c>
      <c r="K11" s="32"/>
    </row>
    <row r="12" spans="2:17" ht="15.75" thickBot="1">
      <c r="B12" s="59" t="s">
        <v>44</v>
      </c>
      <c r="C12" s="60">
        <f>L6-1</f>
        <v>-1</v>
      </c>
      <c r="D12" s="61" t="s">
        <v>20</v>
      </c>
      <c r="F12" s="59" t="s">
        <v>36</v>
      </c>
      <c r="G12" s="62">
        <v>0</v>
      </c>
      <c r="H12" s="63">
        <v>28</v>
      </c>
      <c r="I12" s="64">
        <f>I5+I4/2-I10*0.1/2</f>
        <v>87.749999999999986</v>
      </c>
      <c r="M12" s="72"/>
    </row>
    <row r="13" spans="2:17">
      <c r="B13" s="9"/>
      <c r="C13" s="9"/>
      <c r="D13" s="9"/>
      <c r="F13" s="9"/>
      <c r="G13" s="65"/>
      <c r="H13" s="9"/>
      <c r="I13" s="53"/>
      <c r="J13" s="41"/>
    </row>
    <row r="14" spans="2:17">
      <c r="B14" s="9"/>
      <c r="C14" s="66"/>
      <c r="D14" s="9"/>
    </row>
    <row r="16" spans="2:17" ht="60">
      <c r="C16" s="67" t="s">
        <v>45</v>
      </c>
      <c r="D16" s="67" t="str">
        <f>"Primary air btu/lbmole at " &amp; ROUND(C5,1)&amp;" F"</f>
        <v>Primary air btu/lbmole at 70 F</v>
      </c>
      <c r="E16" s="67" t="str">
        <f>"Exhaust btu/lbmole at "&amp;C6&amp;" F"</f>
        <v>Exhaust btu/lbmole at 0 F</v>
      </c>
      <c r="F16" s="67" t="s">
        <v>46</v>
      </c>
      <c r="G16" s="67" t="s">
        <v>47</v>
      </c>
      <c r="H16" s="67"/>
      <c r="K16" s="73"/>
      <c r="L16" s="73"/>
      <c r="N16" s="73"/>
      <c r="O16" s="73"/>
    </row>
    <row r="17" spans="2:19">
      <c r="B17" s="10" t="s">
        <v>34</v>
      </c>
      <c r="C17" s="12">
        <v>0.24379999999999999</v>
      </c>
      <c r="D17" s="11"/>
      <c r="E17" s="11"/>
      <c r="F17" s="41">
        <f>C$4/(C17*(C$6+460.67))</f>
        <v>0.13088615285582988</v>
      </c>
      <c r="G17" s="11">
        <f>H4/F17*I4</f>
        <v>0</v>
      </c>
      <c r="K17" s="74"/>
      <c r="N17" s="74"/>
    </row>
    <row r="18" spans="2:19">
      <c r="B18" s="12" t="s">
        <v>36</v>
      </c>
      <c r="C18" s="12">
        <v>0.38300000000000001</v>
      </c>
      <c r="D18" s="11"/>
      <c r="E18" s="11"/>
      <c r="F18" s="41">
        <f t="shared" ref="F18:F22" si="0">C$4/(C18*(C$6+460.67))</f>
        <v>8.3316041948436892E-2</v>
      </c>
      <c r="G18" s="11">
        <f t="shared" ref="G18:G22" si="1">H5/F18*I5</f>
        <v>29574.136533333327</v>
      </c>
      <c r="K18" s="74"/>
      <c r="N18" s="74"/>
    </row>
    <row r="19" spans="2:19">
      <c r="B19" s="10" t="s">
        <v>38</v>
      </c>
      <c r="C19" s="12">
        <v>0.33529999999999999</v>
      </c>
      <c r="D19" s="11"/>
      <c r="E19" s="11"/>
      <c r="F19" s="41">
        <f t="shared" si="0"/>
        <v>9.5168637239043632E-2</v>
      </c>
      <c r="G19" s="11">
        <f t="shared" si="1"/>
        <v>2353.7165866666669</v>
      </c>
      <c r="K19" s="74"/>
      <c r="N19" s="74"/>
    </row>
    <row r="20" spans="2:19">
      <c r="B20" s="12" t="s">
        <v>39</v>
      </c>
      <c r="C20" s="12">
        <v>0.24379999999999999</v>
      </c>
      <c r="D20" s="11"/>
      <c r="E20" s="11"/>
      <c r="F20" s="41">
        <f t="shared" si="0"/>
        <v>0.13088615285582988</v>
      </c>
      <c r="G20" s="11">
        <f t="shared" si="1"/>
        <v>1680.8500761904766</v>
      </c>
      <c r="K20" s="74"/>
      <c r="N20" s="74"/>
    </row>
    <row r="21" spans="2:19">
      <c r="B21" s="10" t="s">
        <v>40</v>
      </c>
      <c r="C21" s="12">
        <v>0.3831</v>
      </c>
      <c r="D21" s="11"/>
      <c r="E21" s="11"/>
      <c r="F21" s="41">
        <f t="shared" si="0"/>
        <v>8.3294294090971888E-2</v>
      </c>
      <c r="G21" s="11">
        <f t="shared" si="1"/>
        <v>0</v>
      </c>
      <c r="N21" s="74"/>
    </row>
    <row r="22" spans="2:19">
      <c r="B22" s="12" t="s">
        <v>42</v>
      </c>
      <c r="C22" s="12">
        <v>0.59560000000000002</v>
      </c>
      <c r="D22" s="11"/>
      <c r="E22" s="11"/>
      <c r="F22" s="41">
        <f t="shared" si="0"/>
        <v>5.3576299641120421E-2</v>
      </c>
      <c r="G22" s="11">
        <f t="shared" si="1"/>
        <v>3191.7097885714293</v>
      </c>
      <c r="N22" s="54"/>
    </row>
    <row r="23" spans="2:19">
      <c r="G23" s="11">
        <f>SUM(G17:G22)</f>
        <v>36800.412984761904</v>
      </c>
      <c r="L23" s="65"/>
    </row>
    <row r="24" spans="2:19">
      <c r="F24" s="10"/>
      <c r="G24" s="10"/>
      <c r="H24" s="10"/>
      <c r="L24" s="75"/>
      <c r="M24" s="76"/>
    </row>
    <row r="25" spans="2:19">
      <c r="E25" s="10"/>
    </row>
    <row r="26" spans="2:19">
      <c r="B26" s="13"/>
      <c r="C26" s="13"/>
      <c r="D26" s="13"/>
      <c r="E26" s="13"/>
      <c r="F26" s="14"/>
      <c r="G26" s="14"/>
      <c r="H26" s="13"/>
      <c r="I26" s="13"/>
      <c r="J26" s="13"/>
      <c r="K26" s="77"/>
      <c r="L26" s="77"/>
      <c r="M26" s="77"/>
      <c r="N26" s="77"/>
      <c r="O26" s="77"/>
      <c r="P26" s="13"/>
      <c r="Q26" s="13"/>
      <c r="R26" s="13"/>
      <c r="S26" s="13"/>
    </row>
    <row r="27" spans="2:19">
      <c r="B27" s="13"/>
      <c r="C27" s="13"/>
      <c r="D27" s="13"/>
      <c r="E27" s="13"/>
      <c r="F27" s="14"/>
      <c r="G27" s="13"/>
      <c r="H27" s="13"/>
      <c r="I27" s="13"/>
      <c r="J27" s="13"/>
      <c r="K27" s="77"/>
      <c r="L27" s="77"/>
      <c r="M27" s="77"/>
      <c r="N27" s="77"/>
      <c r="O27" s="77"/>
      <c r="P27" s="13"/>
      <c r="Q27" s="13"/>
      <c r="R27" s="13"/>
    </row>
    <row r="28" spans="2:19">
      <c r="B28" s="15"/>
      <c r="C28" s="15"/>
      <c r="D28" s="15"/>
      <c r="E28" s="16"/>
      <c r="F28" s="15"/>
      <c r="G28" s="15"/>
      <c r="H28" s="15"/>
      <c r="I28" s="15"/>
      <c r="J28" s="15"/>
      <c r="K28" s="78"/>
      <c r="L28" s="78"/>
      <c r="M28" s="78"/>
      <c r="N28" s="78"/>
      <c r="O28" s="78"/>
      <c r="P28" s="15"/>
      <c r="Q28" s="15"/>
      <c r="R28" s="15"/>
    </row>
    <row r="29" spans="2:19">
      <c r="B29" s="13"/>
      <c r="C29" s="13"/>
      <c r="D29" s="17"/>
      <c r="E29" s="18"/>
      <c r="F29" s="13"/>
      <c r="G29" s="13"/>
      <c r="H29" s="68"/>
      <c r="I29" s="68"/>
      <c r="J29" s="68"/>
      <c r="K29" s="79"/>
      <c r="L29" s="77"/>
      <c r="M29" s="77"/>
      <c r="N29" s="79"/>
      <c r="O29" s="77"/>
      <c r="P29" s="13"/>
      <c r="Q29" s="69"/>
      <c r="R29" s="13"/>
    </row>
    <row r="30" spans="2:19">
      <c r="B30" s="13"/>
      <c r="C30" s="13"/>
      <c r="D30" s="17"/>
      <c r="E30" s="18"/>
      <c r="F30" s="13"/>
      <c r="G30" s="13"/>
      <c r="H30" s="68"/>
      <c r="I30" s="68"/>
      <c r="J30" s="68"/>
      <c r="K30" s="79"/>
      <c r="L30" s="77"/>
      <c r="M30" s="77"/>
      <c r="N30" s="79"/>
      <c r="O30" s="77"/>
      <c r="P30" s="13"/>
      <c r="Q30" s="69"/>
      <c r="R30" s="13"/>
    </row>
    <row r="31" spans="2:19">
      <c r="B31" s="13"/>
      <c r="C31" s="13"/>
      <c r="D31" s="17"/>
      <c r="E31" s="18"/>
      <c r="F31" s="13"/>
      <c r="G31" s="13"/>
      <c r="H31" s="68"/>
      <c r="I31" s="68"/>
      <c r="J31" s="68"/>
      <c r="K31" s="79"/>
      <c r="L31" s="77"/>
      <c r="M31" s="77"/>
      <c r="N31" s="79"/>
      <c r="O31" s="77"/>
      <c r="P31" s="13"/>
      <c r="Q31" s="69"/>
      <c r="R31" s="13"/>
    </row>
    <row r="32" spans="2:19">
      <c r="B32" s="13"/>
      <c r="C32" s="13"/>
      <c r="D32" s="17"/>
      <c r="E32" s="18"/>
      <c r="F32" s="18"/>
      <c r="G32" s="13"/>
      <c r="H32" s="68"/>
      <c r="I32" s="68"/>
      <c r="J32" s="68"/>
      <c r="K32" s="79"/>
      <c r="L32" s="77"/>
      <c r="M32" s="77"/>
      <c r="N32" s="77"/>
      <c r="O32" s="77"/>
      <c r="P32" s="13"/>
      <c r="Q32" s="69"/>
      <c r="R32" s="13"/>
    </row>
    <row r="33" spans="2:18">
      <c r="B33" s="13"/>
      <c r="C33" s="13"/>
      <c r="D33" s="17"/>
      <c r="E33" s="18"/>
      <c r="F33" s="18"/>
      <c r="G33" s="13"/>
      <c r="H33" s="13"/>
      <c r="I33" s="68"/>
      <c r="J33" s="68"/>
      <c r="K33" s="79"/>
      <c r="L33" s="77"/>
      <c r="M33" s="77"/>
      <c r="N33" s="77"/>
      <c r="O33" s="77"/>
      <c r="P33" s="13"/>
      <c r="Q33" s="13"/>
      <c r="R33" s="13"/>
    </row>
    <row r="34" spans="2:18">
      <c r="B34" s="13"/>
      <c r="C34" s="13"/>
      <c r="D34" s="17"/>
      <c r="E34" s="18"/>
      <c r="F34" s="18"/>
      <c r="G34" s="13"/>
      <c r="H34" s="13"/>
      <c r="I34" s="68"/>
      <c r="J34" s="68"/>
      <c r="K34" s="80"/>
      <c r="L34" s="77"/>
      <c r="M34" s="77"/>
      <c r="N34" s="77"/>
      <c r="O34" s="77"/>
      <c r="P34" s="13"/>
      <c r="Q34" s="69"/>
      <c r="R34" s="13"/>
    </row>
    <row r="35" spans="2:18" ht="15.75" thickBot="1">
      <c r="B35" s="13"/>
      <c r="C35" s="13"/>
      <c r="D35" s="17"/>
      <c r="E35" s="18"/>
      <c r="F35" s="18"/>
      <c r="G35" s="13"/>
      <c r="H35" s="13"/>
      <c r="I35" s="13"/>
      <c r="J35" s="13"/>
      <c r="K35" s="77"/>
      <c r="L35" s="77"/>
      <c r="M35" s="77"/>
      <c r="N35" s="77"/>
      <c r="O35" s="81"/>
      <c r="P35" s="13"/>
      <c r="Q35" s="13"/>
      <c r="R35" s="13"/>
    </row>
    <row r="36" spans="2:18" ht="15.75" thickBot="1">
      <c r="B36" s="13"/>
      <c r="C36" s="13"/>
      <c r="D36" s="17"/>
      <c r="E36" s="18"/>
      <c r="F36" s="18"/>
      <c r="G36" s="13"/>
      <c r="H36" s="13"/>
      <c r="I36" s="13"/>
      <c r="J36" s="13"/>
      <c r="K36" s="77"/>
      <c r="L36" s="77"/>
      <c r="M36" s="77"/>
      <c r="N36" s="77"/>
      <c r="O36" s="82"/>
      <c r="P36" s="70"/>
      <c r="Q36" s="13"/>
      <c r="R36" s="13"/>
    </row>
    <row r="37" spans="2:18">
      <c r="B37" s="13"/>
      <c r="C37" s="13"/>
      <c r="D37" s="17"/>
      <c r="E37" s="18"/>
      <c r="F37" s="18"/>
      <c r="G37" s="13"/>
      <c r="H37" s="13"/>
      <c r="I37" s="13"/>
      <c r="J37" s="13"/>
      <c r="K37" s="77"/>
      <c r="L37" s="77"/>
      <c r="M37" s="77"/>
      <c r="N37" s="77"/>
      <c r="O37" s="77"/>
      <c r="P37" s="13"/>
      <c r="Q37" s="13"/>
      <c r="R37" s="13"/>
    </row>
    <row r="38" spans="2:18">
      <c r="B38" s="13"/>
      <c r="C38" s="13"/>
      <c r="D38" s="17"/>
      <c r="E38" s="18"/>
      <c r="F38" s="18"/>
      <c r="G38" s="13"/>
      <c r="H38" s="13"/>
      <c r="I38" s="13"/>
      <c r="J38" s="13"/>
      <c r="K38" s="77"/>
      <c r="L38" s="77"/>
      <c r="M38" s="77"/>
      <c r="N38" s="77"/>
      <c r="Q38" s="13"/>
      <c r="R38"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A5" zoomScale="80" zoomScaleNormal="80" workbookViewId="0">
      <selection activeCell="C30" sqref="C30"/>
    </sheetView>
  </sheetViews>
  <sheetFormatPr defaultRowHeight="15"/>
  <cols>
    <col min="1" max="1" width="28.7109375" bestFit="1" customWidth="1"/>
    <col min="2" max="2" width="16.28515625" bestFit="1" customWidth="1"/>
  </cols>
  <sheetData>
    <row r="1" spans="1:4" ht="15.75">
      <c r="A1" s="185" t="s">
        <v>98</v>
      </c>
    </row>
    <row r="2" spans="1:4">
      <c r="A2" t="s">
        <v>72</v>
      </c>
      <c r="B2" s="184" t="e">
        <f>IF('Flue Stack Economizer'!G10="Hp",('Flue Stack Economizer'!F10*33475*'Flue Stack Economizer'!F13)/('Flue Stack Economizer'!F12*10^5),('Flue Stack Economizer'!F10*'Flue Stack Economizer'!F13)/10^5)</f>
        <v>#DIV/0!</v>
      </c>
      <c r="C2" t="s">
        <v>73</v>
      </c>
    </row>
    <row r="3" spans="1:4">
      <c r="A3" t="s">
        <v>76</v>
      </c>
      <c r="B3" s="168" t="e">
        <f>B2*174.3</f>
        <v>#DIV/0!</v>
      </c>
      <c r="C3" t="s">
        <v>74</v>
      </c>
      <c r="D3" t="s">
        <v>75</v>
      </c>
    </row>
    <row r="4" spans="1:4">
      <c r="B4" s="168"/>
    </row>
    <row r="5" spans="1:4">
      <c r="A5" t="s">
        <v>90</v>
      </c>
      <c r="B5">
        <f>INDEX('Steam Table'!$B$2:$B$58,MATCH('Flue Stack Economizer'!$F$14+14.7,'Steam Table'!$A$2:$A$58)+1,1)</f>
        <v>213.03</v>
      </c>
      <c r="C5" t="s">
        <v>0</v>
      </c>
    </row>
    <row r="7" spans="1:4" ht="15.75">
      <c r="A7" s="185" t="s">
        <v>99</v>
      </c>
    </row>
    <row r="8" spans="1:4">
      <c r="A8" t="s">
        <v>100</v>
      </c>
      <c r="B8">
        <f>INDEX('Steam Table'!$H$2:$H$58,MATCH('Flue Stack Economizer'!$F$14+14.7,'Steam Table'!$A$2:$A$58)+1,1)</f>
        <v>1150.9000000000001</v>
      </c>
      <c r="C8" t="s">
        <v>101</v>
      </c>
    </row>
    <row r="9" spans="1:4">
      <c r="A9" t="s">
        <v>103</v>
      </c>
      <c r="B9" t="e">
        <f>INDEX('Steam Table'!$G$2:$G$58,MATCH('Flue Stack Economizer'!$F$15,'Steam Table'!$B$2:$B$58)+1,1)</f>
        <v>#N/A</v>
      </c>
    </row>
    <row r="10" spans="1:4">
      <c r="A10" t="s">
        <v>102</v>
      </c>
      <c r="B10" s="168" t="e">
        <f>B2*10^5/(B8-B9)</f>
        <v>#DIV/0!</v>
      </c>
      <c r="C10" t="s">
        <v>74</v>
      </c>
    </row>
    <row r="11" spans="1:4">
      <c r="A11" t="s">
        <v>107</v>
      </c>
      <c r="B11" s="186">
        <v>8.0968999999999998</v>
      </c>
      <c r="C11" t="s">
        <v>108</v>
      </c>
      <c r="D11" t="s">
        <v>109</v>
      </c>
    </row>
    <row r="12" spans="1:4">
      <c r="A12" t="s">
        <v>105</v>
      </c>
      <c r="B12" s="168" t="e">
        <f>B10/(B11*60)</f>
        <v>#DIV/0!</v>
      </c>
      <c r="C12" t="s">
        <v>106</v>
      </c>
    </row>
    <row r="14" spans="1:4" ht="15.75">
      <c r="A14" s="185" t="s">
        <v>124</v>
      </c>
    </row>
    <row r="15" spans="1:4">
      <c r="A15" t="s">
        <v>121</v>
      </c>
      <c r="B15" s="189">
        <v>0.02</v>
      </c>
    </row>
    <row r="16" spans="1:4">
      <c r="A16" t="s">
        <v>115</v>
      </c>
      <c r="B16" s="188">
        <f>'Flue Stack Economizer'!F15+40+70</f>
        <v>110</v>
      </c>
      <c r="C16" t="s">
        <v>0</v>
      </c>
      <c r="D16" t="s">
        <v>122</v>
      </c>
    </row>
    <row r="17" spans="1:4">
      <c r="A17" t="s">
        <v>114</v>
      </c>
      <c r="B17" s="187" t="e">
        <f>B3*0.24*('Flue Stack Economizer'!F16-B16)*(1-B15)</f>
        <v>#DIV/0!</v>
      </c>
      <c r="C17" t="s">
        <v>117</v>
      </c>
    </row>
    <row r="18" spans="1:4">
      <c r="A18" t="s">
        <v>118</v>
      </c>
      <c r="B18" s="168" t="e">
        <f>B17*'Flue Stack Economizer'!F11/10^5</f>
        <v>#DIV/0!</v>
      </c>
      <c r="C18" t="s">
        <v>119</v>
      </c>
    </row>
    <row r="19" spans="1:4">
      <c r="A19" t="s">
        <v>120</v>
      </c>
      <c r="B19" s="168" t="e">
        <f>B18/'Flue Stack Economizer'!F12</f>
        <v>#DIV/0!</v>
      </c>
      <c r="C19" t="s">
        <v>119</v>
      </c>
    </row>
    <row r="20" spans="1:4">
      <c r="B20" s="168"/>
    </row>
    <row r="21" spans="1:4" ht="15.75">
      <c r="A21" s="185" t="s">
        <v>111</v>
      </c>
    </row>
    <row r="22" spans="1:4">
      <c r="A22" t="s">
        <v>112</v>
      </c>
      <c r="B22" s="193" t="e">
        <f>'Flue Stack Economizer'!F15+(Calculations!B17/(Calculations!B12*500))</f>
        <v>#DIV/0!</v>
      </c>
      <c r="C22" t="e">
        <f>IF(AND(B22&lt;=(B16+5),B22&gt;=(B16-5)),"Use","Pass")</f>
        <v>#DIV/0!</v>
      </c>
    </row>
    <row r="23" spans="1:4">
      <c r="A23" t="s">
        <v>113</v>
      </c>
      <c r="B23" s="193" t="e">
        <f>$B$3*0.24*('Flue Stack Economizer'!$F$16-B22)*(1-$B$15)</f>
        <v>#DIV/0!</v>
      </c>
      <c r="D23" t="s">
        <v>123</v>
      </c>
    </row>
    <row r="24" spans="1:4">
      <c r="B24" s="168" t="e">
        <f>'Flue Stack Economizer'!F15+(Calculations!B23/(Calculations!$B$12*500))</f>
        <v>#DIV/0!</v>
      </c>
      <c r="C24" t="e">
        <f>IF(AND(B22&lt;=(B24+5),B22&gt;=(B24-5)),"Use","Pass")</f>
        <v>#DIV/0!</v>
      </c>
    </row>
    <row r="25" spans="1:4">
      <c r="B25" s="193" t="e">
        <f>$B$3*0.24*('Flue Stack Economizer'!$F$16-B24)*(1-$B$15)</f>
        <v>#DIV/0!</v>
      </c>
    </row>
    <row r="26" spans="1:4">
      <c r="B26" s="168" t="e">
        <f>'Flue Stack Economizer'!$F$15+(Calculations!B25/(Calculations!$B$12*500))</f>
        <v>#DIV/0!</v>
      </c>
      <c r="C26" t="e">
        <f>IF(AND(B24&lt;=(B26+5),B24&gt;=(B26-5)),"Use","Pass")</f>
        <v>#DIV/0!</v>
      </c>
    </row>
    <row r="27" spans="1:4">
      <c r="B27" s="193" t="e">
        <f>$B$3*0.24*('Flue Stack Economizer'!$F$16-B26)*(1-$B$15)</f>
        <v>#DIV/0!</v>
      </c>
    </row>
    <row r="28" spans="1:4">
      <c r="B28" s="168" t="e">
        <f>'Flue Stack Economizer'!$F$15+(Calculations!B27/(Calculations!$B$12*500))</f>
        <v>#DIV/0!</v>
      </c>
      <c r="C28" t="e">
        <f>IF(AND(B26&lt;=(B28+5),B26&gt;=(B28-5)),"Use","Pass")</f>
        <v>#DIV/0!</v>
      </c>
    </row>
    <row r="29" spans="1:4">
      <c r="B29" s="193" t="e">
        <f>$B$3*0.24*('Flue Stack Economizer'!$F$16-B28)*(1-$B$15)</f>
        <v>#DIV/0!</v>
      </c>
    </row>
    <row r="30" spans="1:4">
      <c r="B30" s="168" t="e">
        <f>'Flue Stack Economizer'!$F$15+(Calculations!B29/(Calculations!$B$12*500))</f>
        <v>#DIV/0!</v>
      </c>
      <c r="C30" t="e">
        <f>IF(AND(B28&lt;=(B30+5),B28&gt;=(B30-5)),"Use","Pass")</f>
        <v>#DIV/0!</v>
      </c>
    </row>
    <row r="31" spans="1:4">
      <c r="B31" s="193" t="e">
        <f>$B$3*0.24*('Flue Stack Economizer'!$F$16-B30)*(1-$B$15)</f>
        <v>#DIV/0!</v>
      </c>
    </row>
    <row r="32" spans="1:4">
      <c r="B32" s="168" t="e">
        <f>'Flue Stack Economizer'!$F$15+(Calculations!B31/(Calculations!$B$12*500))</f>
        <v>#DIV/0!</v>
      </c>
      <c r="C32" t="e">
        <f>IF(AND(B30&lt;=(B32+5),B30&gt;=(B32-5)),"Use","Pass")</f>
        <v>#DIV/0!</v>
      </c>
    </row>
    <row r="33" spans="1:3">
      <c r="B33" s="193" t="e">
        <f>$B$3*0.24*('Flue Stack Economizer'!$F$16-B32)*(1-$B$15)</f>
        <v>#DIV/0!</v>
      </c>
    </row>
    <row r="34" spans="1:3" ht="15.75">
      <c r="A34" s="185"/>
      <c r="B34" s="168" t="e">
        <f>'Flue Stack Economizer'!$F$15+(Calculations!B33/(Calculations!$B$12*500))</f>
        <v>#DIV/0!</v>
      </c>
      <c r="C34" t="e">
        <f>IF(AND(B32&lt;=(B34+5),B32&gt;=(B34-5)),"Use","Pass")</f>
        <v>#DIV/0!</v>
      </c>
    </row>
    <row r="40" spans="1:3">
      <c r="B40" s="193"/>
    </row>
    <row r="41" spans="1:3">
      <c r="B41" s="168"/>
    </row>
    <row r="43" spans="1:3">
      <c r="B43" s="193"/>
    </row>
    <row r="44" spans="1:3">
      <c r="B44" s="168"/>
    </row>
    <row r="46" spans="1:3">
      <c r="B46" s="193"/>
    </row>
    <row r="47" spans="1:3">
      <c r="B47" s="16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workbookViewId="0">
      <selection activeCell="H10" sqref="H10"/>
    </sheetView>
  </sheetViews>
  <sheetFormatPr defaultRowHeight="15"/>
  <cols>
    <col min="1" max="2" width="9.140625" style="174"/>
    <col min="3" max="3" width="14.42578125" style="174" bestFit="1" customWidth="1"/>
    <col min="4" max="4" width="8" style="174" bestFit="1" customWidth="1"/>
    <col min="5" max="5" width="9.140625" style="174"/>
    <col min="6" max="6" width="7" style="174" bestFit="1" customWidth="1"/>
    <col min="7" max="7" width="9.140625" style="174"/>
    <col min="8" max="8" width="7" style="174" bestFit="1" customWidth="1"/>
    <col min="9" max="16384" width="9.140625" style="174"/>
  </cols>
  <sheetData>
    <row r="1" spans="1:11">
      <c r="A1" s="169" t="s">
        <v>88</v>
      </c>
      <c r="B1" s="170" t="s">
        <v>89</v>
      </c>
      <c r="C1" s="171" t="s">
        <v>77</v>
      </c>
      <c r="D1" s="170" t="s">
        <v>78</v>
      </c>
      <c r="E1" s="172" t="s">
        <v>79</v>
      </c>
      <c r="F1" s="170" t="s">
        <v>80</v>
      </c>
      <c r="G1" s="171" t="s">
        <v>104</v>
      </c>
      <c r="H1" s="172" t="s">
        <v>97</v>
      </c>
      <c r="I1" s="170" t="s">
        <v>81</v>
      </c>
      <c r="J1" s="172" t="s">
        <v>82</v>
      </c>
      <c r="K1" s="173"/>
    </row>
    <row r="2" spans="1:11">
      <c r="A2" s="175">
        <v>1</v>
      </c>
      <c r="B2" s="175">
        <v>101.7</v>
      </c>
      <c r="C2" s="175">
        <v>1.6136000000000001E-2</v>
      </c>
      <c r="D2" s="175">
        <v>333.6</v>
      </c>
      <c r="E2" s="175">
        <v>69.739999999999995</v>
      </c>
      <c r="F2" s="175">
        <v>1044</v>
      </c>
      <c r="G2" s="175">
        <v>69.739999999999995</v>
      </c>
      <c r="H2" s="176">
        <v>1105.8</v>
      </c>
      <c r="I2" s="177">
        <v>13266</v>
      </c>
      <c r="J2" s="176">
        <v>1.9779</v>
      </c>
      <c r="K2" s="178"/>
    </row>
    <row r="3" spans="1:11">
      <c r="A3" s="175">
        <v>2</v>
      </c>
      <c r="B3" s="175">
        <v>126.04</v>
      </c>
      <c r="C3" s="175">
        <v>1.6230000000000001E-2</v>
      </c>
      <c r="D3" s="175">
        <v>173.75</v>
      </c>
      <c r="E3" s="175">
        <v>94.02</v>
      </c>
      <c r="F3" s="175">
        <v>1051.8</v>
      </c>
      <c r="G3" s="175">
        <v>94.02</v>
      </c>
      <c r="H3" s="176">
        <v>1116.0999999999999</v>
      </c>
      <c r="I3" s="177">
        <v>0.17499000000000001</v>
      </c>
      <c r="J3" s="176">
        <v>1.9198</v>
      </c>
      <c r="K3" s="179"/>
    </row>
    <row r="4" spans="1:11">
      <c r="A4" s="175">
        <v>3</v>
      </c>
      <c r="B4" s="175">
        <v>141.43</v>
      </c>
      <c r="C4" s="175">
        <v>1.6299999999999999E-2</v>
      </c>
      <c r="D4" s="175">
        <v>118.72</v>
      </c>
      <c r="E4" s="175">
        <v>109.38</v>
      </c>
      <c r="F4" s="175">
        <v>1056.5999999999999</v>
      </c>
      <c r="G4" s="175">
        <v>109.39</v>
      </c>
      <c r="H4" s="176">
        <v>1122.5</v>
      </c>
      <c r="I4" s="177">
        <v>0.20089000000000001</v>
      </c>
      <c r="J4" s="176">
        <v>1.8861000000000001</v>
      </c>
      <c r="K4" s="178"/>
    </row>
    <row r="5" spans="1:11">
      <c r="A5" s="175">
        <v>4</v>
      </c>
      <c r="B5" s="175">
        <v>152.93</v>
      </c>
      <c r="C5" s="175" t="s">
        <v>83</v>
      </c>
      <c r="D5" s="175">
        <v>90.64</v>
      </c>
      <c r="E5" s="175">
        <v>120.88</v>
      </c>
      <c r="F5" s="175">
        <v>1060.2</v>
      </c>
      <c r="G5" s="175">
        <v>120.89</v>
      </c>
      <c r="H5" s="176">
        <v>1127.3</v>
      </c>
      <c r="I5" s="177">
        <v>0.21983</v>
      </c>
      <c r="J5" s="176">
        <v>1.8624000000000001</v>
      </c>
      <c r="K5" s="178"/>
    </row>
    <row r="6" spans="1:11">
      <c r="A6" s="175">
        <v>5</v>
      </c>
      <c r="B6" s="175">
        <v>162.21</v>
      </c>
      <c r="C6" s="175">
        <v>1.6407000000000001E-2</v>
      </c>
      <c r="D6" s="175">
        <v>73.53</v>
      </c>
      <c r="E6" s="175">
        <v>130.15</v>
      </c>
      <c r="F6" s="175">
        <v>1063</v>
      </c>
      <c r="G6" s="175">
        <v>130.16999999999999</v>
      </c>
      <c r="H6" s="176">
        <v>1131</v>
      </c>
      <c r="I6" s="177">
        <v>0.23486000000000001</v>
      </c>
      <c r="J6" s="176">
        <v>1.8441000000000001</v>
      </c>
      <c r="K6" s="178"/>
    </row>
    <row r="7" spans="1:11">
      <c r="A7" s="175">
        <v>6</v>
      </c>
      <c r="B7" s="175">
        <v>170.03</v>
      </c>
      <c r="C7" s="175" t="s">
        <v>84</v>
      </c>
      <c r="D7" s="175">
        <v>61.98</v>
      </c>
      <c r="E7" s="175">
        <v>137.97999999999999</v>
      </c>
      <c r="F7" s="175">
        <v>1065.4000000000001</v>
      </c>
      <c r="G7" s="175">
        <v>138</v>
      </c>
      <c r="H7" s="176">
        <v>1134.2</v>
      </c>
      <c r="I7" s="177">
        <v>0.24736</v>
      </c>
      <c r="J7" s="176">
        <v>1.8291999999999999</v>
      </c>
      <c r="K7" s="178"/>
    </row>
    <row r="8" spans="1:11">
      <c r="A8" s="175">
        <v>8</v>
      </c>
      <c r="B8" s="175">
        <v>182.84</v>
      </c>
      <c r="C8" s="175">
        <v>1.6525999999999999E-2</v>
      </c>
      <c r="D8" s="175">
        <v>47.35</v>
      </c>
      <c r="E8" s="175">
        <v>150.81</v>
      </c>
      <c r="F8" s="175">
        <v>1069.2</v>
      </c>
      <c r="G8" s="175">
        <v>150.84</v>
      </c>
      <c r="H8" s="176">
        <v>1139.3</v>
      </c>
      <c r="I8" s="177">
        <v>0.26754</v>
      </c>
      <c r="J8" s="176">
        <v>1.8058000000000001</v>
      </c>
      <c r="K8" s="178"/>
    </row>
    <row r="9" spans="1:11">
      <c r="A9" s="175">
        <v>10</v>
      </c>
      <c r="B9" s="175">
        <v>193.19</v>
      </c>
      <c r="C9" s="175">
        <v>1.6590000000000001E-2</v>
      </c>
      <c r="D9" s="175">
        <v>38.42</v>
      </c>
      <c r="E9" s="175">
        <v>161.19999999999999</v>
      </c>
      <c r="F9" s="175">
        <v>1072.2</v>
      </c>
      <c r="G9" s="175">
        <v>161.22999999999999</v>
      </c>
      <c r="H9" s="176">
        <v>1143.3</v>
      </c>
      <c r="I9" s="177">
        <v>0.28358</v>
      </c>
      <c r="J9" s="176">
        <v>1.7877000000000001</v>
      </c>
      <c r="K9" s="178"/>
    </row>
    <row r="10" spans="1:11">
      <c r="A10" s="175">
        <v>14.696</v>
      </c>
      <c r="B10" s="175">
        <v>211.99</v>
      </c>
      <c r="C10" s="175">
        <v>1.6715000000000001E-2</v>
      </c>
      <c r="D10" s="175">
        <v>26.8</v>
      </c>
      <c r="E10" s="175">
        <v>180.1</v>
      </c>
      <c r="F10" s="175">
        <v>1077.5999999999999</v>
      </c>
      <c r="G10" s="175">
        <v>180.15</v>
      </c>
      <c r="H10" s="176">
        <v>1150.5</v>
      </c>
      <c r="I10" s="177">
        <v>0.31212000000000001</v>
      </c>
      <c r="J10" s="176">
        <v>1.7566999999999999</v>
      </c>
      <c r="K10" s="178"/>
    </row>
    <row r="11" spans="1:11">
      <c r="A11" s="175">
        <v>15</v>
      </c>
      <c r="B11" s="175">
        <v>213.03</v>
      </c>
      <c r="C11" s="175">
        <v>1.6722999999999998E-2</v>
      </c>
      <c r="D11" s="175">
        <v>26.29</v>
      </c>
      <c r="E11" s="175">
        <v>181.14</v>
      </c>
      <c r="F11" s="175">
        <v>1077.9000000000001</v>
      </c>
      <c r="G11" s="175">
        <v>181.19</v>
      </c>
      <c r="H11" s="176">
        <v>1150.9000000000001</v>
      </c>
      <c r="I11" s="177">
        <v>0.31367</v>
      </c>
      <c r="J11" s="176">
        <v>1.7551000000000001</v>
      </c>
      <c r="K11" s="178"/>
    </row>
    <row r="12" spans="1:11">
      <c r="A12" s="175">
        <v>20</v>
      </c>
      <c r="B12" s="175">
        <v>227.96</v>
      </c>
      <c r="C12" s="175">
        <v>1.6830000000000001E-2</v>
      </c>
      <c r="D12" s="175">
        <v>20.09</v>
      </c>
      <c r="E12" s="175">
        <v>196.19</v>
      </c>
      <c r="F12" s="175">
        <v>1082</v>
      </c>
      <c r="G12" s="175">
        <v>196.26</v>
      </c>
      <c r="H12" s="176">
        <v>1156.4000000000001</v>
      </c>
      <c r="I12" s="177">
        <v>0.33579999999999999</v>
      </c>
      <c r="J12" s="176">
        <v>1.732</v>
      </c>
      <c r="K12" s="178"/>
    </row>
    <row r="13" spans="1:11">
      <c r="A13" s="175">
        <v>25</v>
      </c>
      <c r="B13" s="175">
        <v>240.08</v>
      </c>
      <c r="C13" s="175">
        <v>1.6922E-2</v>
      </c>
      <c r="D13" s="175">
        <v>16.306000000000001</v>
      </c>
      <c r="E13" s="175">
        <v>208.44</v>
      </c>
      <c r="F13" s="175">
        <v>1085.3</v>
      </c>
      <c r="G13" s="175">
        <v>208.52</v>
      </c>
      <c r="H13" s="175">
        <v>1160.7</v>
      </c>
      <c r="I13" s="175">
        <v>0.35344999999999999</v>
      </c>
      <c r="J13" s="175">
        <v>1.7141999999999999</v>
      </c>
      <c r="K13" s="178"/>
    </row>
    <row r="14" spans="1:11">
      <c r="A14" s="175">
        <v>30</v>
      </c>
      <c r="B14" s="175">
        <v>250.34</v>
      </c>
      <c r="C14" s="175">
        <v>1.7003999999999998E-2</v>
      </c>
      <c r="D14" s="175" t="s">
        <v>85</v>
      </c>
      <c r="E14" s="175">
        <v>218.84</v>
      </c>
      <c r="F14" s="175">
        <v>1088</v>
      </c>
      <c r="G14" s="175">
        <v>218.93</v>
      </c>
      <c r="H14" s="175">
        <v>1164.3</v>
      </c>
      <c r="I14" s="175">
        <v>0.36820999999999998</v>
      </c>
      <c r="J14" s="175">
        <v>1.6996</v>
      </c>
      <c r="K14" s="178"/>
    </row>
    <row r="15" spans="1:11">
      <c r="A15" s="175">
        <v>35</v>
      </c>
      <c r="B15" s="175">
        <v>259.3</v>
      </c>
      <c r="C15" s="175">
        <v>1.7073000000000001E-2</v>
      </c>
      <c r="D15" s="175">
        <v>11.9</v>
      </c>
      <c r="E15" s="175">
        <v>227.93</v>
      </c>
      <c r="F15" s="175">
        <v>1090.3</v>
      </c>
      <c r="G15" s="175">
        <v>228.04</v>
      </c>
      <c r="H15" s="175">
        <v>1167.4000000000001</v>
      </c>
      <c r="I15" s="175">
        <v>0.38092999999999999</v>
      </c>
      <c r="J15" s="175">
        <v>1.6873</v>
      </c>
      <c r="K15" s="178"/>
    </row>
    <row r="16" spans="1:11">
      <c r="A16" s="175">
        <v>40</v>
      </c>
      <c r="B16" s="175">
        <v>267.26</v>
      </c>
      <c r="C16" s="175">
        <v>1.7146000000000002E-2</v>
      </c>
      <c r="D16" s="175">
        <v>10.500999999999999</v>
      </c>
      <c r="E16" s="175">
        <v>236.03</v>
      </c>
      <c r="F16" s="175">
        <v>1092.3</v>
      </c>
      <c r="G16" s="175">
        <v>236.16</v>
      </c>
      <c r="H16" s="175">
        <v>1170</v>
      </c>
      <c r="I16" s="175">
        <v>0.39213999999999999</v>
      </c>
      <c r="J16" s="175">
        <v>1.6767000000000001</v>
      </c>
      <c r="K16" s="178"/>
    </row>
    <row r="17" spans="1:11">
      <c r="A17" s="175">
        <v>45</v>
      </c>
      <c r="B17" s="175">
        <v>274.45999999999998</v>
      </c>
      <c r="C17" s="175">
        <v>1.7208999999999999E-2</v>
      </c>
      <c r="D17" s="175">
        <v>9.4030000000000005</v>
      </c>
      <c r="E17" s="175">
        <v>243.37</v>
      </c>
      <c r="F17" s="175">
        <v>1094</v>
      </c>
      <c r="G17" s="175">
        <v>243.51</v>
      </c>
      <c r="H17" s="175">
        <v>1172.3</v>
      </c>
      <c r="I17" s="175">
        <v>0.40217999999999998</v>
      </c>
      <c r="J17" s="175">
        <v>1.6673</v>
      </c>
      <c r="K17" s="178"/>
    </row>
    <row r="18" spans="1:11">
      <c r="A18" s="180">
        <v>50</v>
      </c>
      <c r="B18" s="180">
        <v>281.02999999999997</v>
      </c>
      <c r="C18" s="180">
        <v>1.7269E-2</v>
      </c>
      <c r="D18" s="180">
        <v>8.5180000000000007</v>
      </c>
      <c r="E18" s="180">
        <v>250.08</v>
      </c>
      <c r="F18" s="180">
        <v>1095.5999999999999</v>
      </c>
      <c r="G18" s="180">
        <v>250.24</v>
      </c>
      <c r="H18" s="180">
        <v>1174.4000000000001</v>
      </c>
      <c r="I18" s="180">
        <v>0.41128999999999999</v>
      </c>
      <c r="J18" s="180">
        <v>1.6589</v>
      </c>
      <c r="K18" s="178"/>
    </row>
    <row r="19" spans="1:11">
      <c r="A19" s="181">
        <v>55</v>
      </c>
      <c r="B19" s="181">
        <v>287.10000000000002</v>
      </c>
      <c r="C19" s="181">
        <v>1.7325E-2</v>
      </c>
      <c r="D19" s="181">
        <v>7.7889999999999997</v>
      </c>
      <c r="E19" s="181">
        <v>256.27999999999997</v>
      </c>
      <c r="F19" s="181">
        <v>1097</v>
      </c>
      <c r="G19" s="181">
        <v>256.45999999999998</v>
      </c>
      <c r="H19" s="181">
        <v>1176.3</v>
      </c>
      <c r="I19" s="181">
        <v>0.41963</v>
      </c>
      <c r="J19" s="181">
        <v>1.6513</v>
      </c>
      <c r="K19" s="178"/>
    </row>
    <row r="20" spans="1:11">
      <c r="A20" s="175">
        <v>60</v>
      </c>
      <c r="B20" s="182">
        <v>292.73</v>
      </c>
      <c r="C20" s="182">
        <v>1.7378000000000001E-2</v>
      </c>
      <c r="D20" s="182">
        <v>7.1769999999999996</v>
      </c>
      <c r="E20" s="182">
        <v>262.06</v>
      </c>
      <c r="F20" s="182">
        <v>1098.3</v>
      </c>
      <c r="G20" s="182">
        <v>262.25</v>
      </c>
      <c r="H20" s="182">
        <v>1178</v>
      </c>
      <c r="I20" s="182">
        <v>0.42732999999999999</v>
      </c>
      <c r="J20" s="182">
        <v>1.6444000000000001</v>
      </c>
      <c r="K20" s="178"/>
    </row>
    <row r="21" spans="1:11">
      <c r="A21" s="175">
        <v>65</v>
      </c>
      <c r="B21" s="175">
        <v>298</v>
      </c>
      <c r="C21" s="175">
        <v>1.7429E-2</v>
      </c>
      <c r="D21" s="175">
        <v>6.657</v>
      </c>
      <c r="E21" s="175">
        <v>267.45999999999998</v>
      </c>
      <c r="F21" s="175">
        <v>1099.5</v>
      </c>
      <c r="G21" s="175">
        <v>267.67</v>
      </c>
      <c r="H21" s="175">
        <v>1179.5999999999999</v>
      </c>
      <c r="I21" s="175">
        <v>0.4345</v>
      </c>
      <c r="J21" s="175">
        <v>1.6379999999999999</v>
      </c>
      <c r="K21" s="178"/>
    </row>
    <row r="22" spans="1:11">
      <c r="A22" s="175">
        <v>70</v>
      </c>
      <c r="B22" s="175">
        <v>302.95999999999998</v>
      </c>
      <c r="C22" s="175">
        <v>1.7478E-2</v>
      </c>
      <c r="D22" s="175">
        <v>6.2089999999999996</v>
      </c>
      <c r="E22" s="175">
        <v>272.56</v>
      </c>
      <c r="F22" s="175">
        <v>1100.5999999999999</v>
      </c>
      <c r="G22" s="175">
        <v>272.79000000000002</v>
      </c>
      <c r="H22" s="175">
        <v>1181</v>
      </c>
      <c r="I22" s="175">
        <v>0.44119999999999998</v>
      </c>
      <c r="J22" s="175">
        <v>1.6321000000000001</v>
      </c>
      <c r="K22" s="178"/>
    </row>
    <row r="23" spans="1:11">
      <c r="A23" s="175">
        <v>75</v>
      </c>
      <c r="B23" s="175">
        <v>307.63</v>
      </c>
      <c r="C23" s="175">
        <v>1.7524000000000001E-2</v>
      </c>
      <c r="D23" s="175">
        <v>5.8179999999999996</v>
      </c>
      <c r="E23" s="175">
        <v>277.37</v>
      </c>
      <c r="F23" s="175">
        <v>1101.5999999999999</v>
      </c>
      <c r="G23" s="175">
        <v>277.61</v>
      </c>
      <c r="H23" s="175">
        <v>1182.4000000000001</v>
      </c>
      <c r="I23" s="175">
        <v>0.44749</v>
      </c>
      <c r="J23" s="175">
        <v>1.6265000000000001</v>
      </c>
      <c r="K23" s="178"/>
    </row>
    <row r="24" spans="1:11">
      <c r="A24" s="175">
        <v>80</v>
      </c>
      <c r="B24" s="175">
        <v>312.07</v>
      </c>
      <c r="C24" s="175">
        <v>1.7569999999999999E-2</v>
      </c>
      <c r="D24" s="175">
        <v>5.4740000000000002</v>
      </c>
      <c r="E24" s="175">
        <v>281.95</v>
      </c>
      <c r="F24" s="175">
        <v>1102.5999999999999</v>
      </c>
      <c r="G24" s="175">
        <v>282.20999999999998</v>
      </c>
      <c r="H24" s="175">
        <v>1183.5999999999999</v>
      </c>
      <c r="I24" s="175">
        <v>0.45344000000000001</v>
      </c>
      <c r="J24" s="175">
        <v>1.6214</v>
      </c>
      <c r="K24" s="178"/>
    </row>
    <row r="25" spans="1:11">
      <c r="A25" s="175">
        <v>85</v>
      </c>
      <c r="B25" s="175">
        <v>316.29000000000002</v>
      </c>
      <c r="C25" s="175">
        <v>1.7613E-2</v>
      </c>
      <c r="D25" s="175">
        <v>5.17</v>
      </c>
      <c r="E25" s="175">
        <v>286.3</v>
      </c>
      <c r="F25" s="175">
        <v>1103.5</v>
      </c>
      <c r="G25" s="175">
        <v>286.58</v>
      </c>
      <c r="H25" s="175">
        <v>1184.8</v>
      </c>
      <c r="I25" s="175">
        <v>0.45906999999999998</v>
      </c>
      <c r="J25" s="175">
        <v>1.6165</v>
      </c>
      <c r="K25" s="178"/>
    </row>
    <row r="26" spans="1:11">
      <c r="A26" s="175">
        <v>90</v>
      </c>
      <c r="B26" s="175">
        <v>320.31</v>
      </c>
      <c r="C26" s="175">
        <v>1.7655000000000001E-2</v>
      </c>
      <c r="D26" s="175">
        <v>4.8979999999999997</v>
      </c>
      <c r="E26" s="175">
        <v>290.45999999999998</v>
      </c>
      <c r="F26" s="175">
        <v>1104.3</v>
      </c>
      <c r="G26" s="175">
        <v>290.76</v>
      </c>
      <c r="H26" s="175">
        <v>1185.9000000000001</v>
      </c>
      <c r="I26" s="175">
        <v>0.46442</v>
      </c>
      <c r="J26" s="175">
        <v>1.6119000000000001</v>
      </c>
      <c r="K26" s="178"/>
    </row>
    <row r="27" spans="1:11">
      <c r="A27" s="175">
        <v>95</v>
      </c>
      <c r="B27" s="175">
        <v>324.16000000000003</v>
      </c>
      <c r="C27" s="175">
        <v>1.7696E-2</v>
      </c>
      <c r="D27" s="175">
        <v>4.6539999999999999</v>
      </c>
      <c r="E27" s="175">
        <v>294.45</v>
      </c>
      <c r="F27" s="175">
        <v>1105</v>
      </c>
      <c r="G27" s="175">
        <v>294.76</v>
      </c>
      <c r="H27" s="175">
        <v>1186.9000000000001</v>
      </c>
      <c r="I27" s="175">
        <v>0.46951999999999999</v>
      </c>
      <c r="J27" s="175">
        <v>1.6075999999999999</v>
      </c>
      <c r="K27" s="178"/>
    </row>
    <row r="28" spans="1:11">
      <c r="A28" s="175">
        <v>100</v>
      </c>
      <c r="B28" s="175">
        <v>327.86</v>
      </c>
      <c r="C28" s="175">
        <v>1.7735999999999998E-2</v>
      </c>
      <c r="D28" s="175">
        <v>4.4340000000000002</v>
      </c>
      <c r="E28" s="175">
        <v>298.27999999999997</v>
      </c>
      <c r="F28" s="175">
        <v>1105.8</v>
      </c>
      <c r="G28" s="175">
        <v>298.61</v>
      </c>
      <c r="H28" s="175">
        <v>1187.8</v>
      </c>
      <c r="I28" s="175">
        <v>0.47438999999999998</v>
      </c>
      <c r="J28" s="175">
        <v>1.6033999999999999</v>
      </c>
      <c r="K28" s="178"/>
    </row>
    <row r="29" spans="1:11">
      <c r="A29" s="175">
        <v>110</v>
      </c>
      <c r="B29" s="175">
        <v>334.82</v>
      </c>
      <c r="C29" s="175">
        <v>1.7812999999999999E-2</v>
      </c>
      <c r="D29" s="175">
        <v>4.0510000000000002</v>
      </c>
      <c r="E29" s="175">
        <v>305.52</v>
      </c>
      <c r="F29" s="175">
        <v>1107.0999999999999</v>
      </c>
      <c r="G29" s="175">
        <v>305.88</v>
      </c>
      <c r="H29" s="175">
        <v>1189.5999999999999</v>
      </c>
      <c r="I29" s="175">
        <v>0.48354999999999998</v>
      </c>
      <c r="J29" s="175">
        <v>1.5956999999999999</v>
      </c>
      <c r="K29" s="178"/>
    </row>
    <row r="30" spans="1:11">
      <c r="A30" s="175">
        <v>120</v>
      </c>
      <c r="B30" s="175">
        <v>341.3</v>
      </c>
      <c r="C30" s="175">
        <v>1.7885999999999999E-2</v>
      </c>
      <c r="D30" s="175">
        <v>3.73</v>
      </c>
      <c r="E30" s="175">
        <v>312.27</v>
      </c>
      <c r="F30" s="175">
        <v>1108.3</v>
      </c>
      <c r="G30" s="175">
        <v>312.67</v>
      </c>
      <c r="H30" s="175">
        <v>1191.0999999999999</v>
      </c>
      <c r="I30" s="175">
        <v>0.49201</v>
      </c>
      <c r="J30" s="175">
        <v>1.5886</v>
      </c>
      <c r="K30" s="178"/>
    </row>
    <row r="31" spans="1:11">
      <c r="A31" s="175">
        <v>130</v>
      </c>
      <c r="B31" s="175">
        <v>347.37</v>
      </c>
      <c r="C31" s="175">
        <v>1.7957000000000001E-2</v>
      </c>
      <c r="D31" s="175">
        <v>3.4569999999999999</v>
      </c>
      <c r="E31" s="175">
        <v>318.61</v>
      </c>
      <c r="F31" s="175">
        <v>1109.4000000000001</v>
      </c>
      <c r="G31" s="175">
        <v>319.04000000000002</v>
      </c>
      <c r="H31" s="175">
        <v>1192.5</v>
      </c>
      <c r="I31" s="175">
        <v>0.49989</v>
      </c>
      <c r="J31" s="175">
        <v>1.5821000000000001</v>
      </c>
      <c r="K31" s="178"/>
    </row>
    <row r="32" spans="1:11">
      <c r="A32" s="175">
        <v>140</v>
      </c>
      <c r="B32" s="175">
        <v>353.08</v>
      </c>
      <c r="C32" s="175">
        <v>1.8023999999999998E-2</v>
      </c>
      <c r="D32" s="175">
        <v>3.2210000000000001</v>
      </c>
      <c r="E32" s="175">
        <v>324.58</v>
      </c>
      <c r="F32" s="175">
        <v>1110.3</v>
      </c>
      <c r="G32" s="175">
        <v>325.05</v>
      </c>
      <c r="H32" s="175">
        <v>1193.8</v>
      </c>
      <c r="I32" s="175">
        <v>0.50727</v>
      </c>
      <c r="J32" s="175">
        <v>1.5761000000000001</v>
      </c>
      <c r="K32" s="178"/>
    </row>
    <row r="33" spans="1:11">
      <c r="A33" s="175">
        <v>150</v>
      </c>
      <c r="B33" s="175">
        <v>358.48</v>
      </c>
      <c r="C33" s="175">
        <v>1.8089000000000001E-2</v>
      </c>
      <c r="D33" s="175">
        <v>3.016</v>
      </c>
      <c r="E33" s="175">
        <v>330.24</v>
      </c>
      <c r="F33" s="175">
        <v>1111.2</v>
      </c>
      <c r="G33" s="175">
        <v>330.75</v>
      </c>
      <c r="H33" s="175">
        <v>1194.9000000000001</v>
      </c>
      <c r="I33" s="175">
        <v>0.51422000000000001</v>
      </c>
      <c r="J33" s="175">
        <v>1.5704</v>
      </c>
      <c r="K33" s="178"/>
    </row>
    <row r="34" spans="1:11">
      <c r="A34" s="175">
        <v>160</v>
      </c>
      <c r="B34" s="175">
        <v>363.6</v>
      </c>
      <c r="C34" s="175">
        <v>1.8152000000000001E-2</v>
      </c>
      <c r="D34" s="175">
        <v>2.8359999999999999</v>
      </c>
      <c r="E34" s="175">
        <v>335.63</v>
      </c>
      <c r="F34" s="175">
        <v>1112</v>
      </c>
      <c r="G34" s="175">
        <v>336.16</v>
      </c>
      <c r="H34" s="175">
        <v>1196</v>
      </c>
      <c r="I34" s="175">
        <v>0.52078000000000002</v>
      </c>
      <c r="J34" s="175">
        <v>1.5650999999999999</v>
      </c>
      <c r="K34" s="178"/>
    </row>
    <row r="35" spans="1:11">
      <c r="A35" s="175">
        <v>170</v>
      </c>
      <c r="B35" s="175">
        <v>368.47</v>
      </c>
      <c r="C35" s="175">
        <v>1.8214000000000001E-2</v>
      </c>
      <c r="D35" s="175">
        <v>2.6760000000000002</v>
      </c>
      <c r="E35" s="175">
        <v>340.76</v>
      </c>
      <c r="F35" s="175">
        <v>1112.7</v>
      </c>
      <c r="G35" s="175">
        <v>341.33</v>
      </c>
      <c r="H35" s="175">
        <v>1196.9000000000001</v>
      </c>
      <c r="I35" s="175">
        <v>0.52700000000000002</v>
      </c>
      <c r="J35" s="175">
        <v>1.56</v>
      </c>
      <c r="K35" s="178"/>
    </row>
    <row r="36" spans="1:11">
      <c r="A36" s="175">
        <v>180</v>
      </c>
      <c r="B36" s="175">
        <v>373.13</v>
      </c>
      <c r="C36" s="175">
        <v>1.8273000000000001E-2</v>
      </c>
      <c r="D36" s="175">
        <v>2.5329999999999999</v>
      </c>
      <c r="E36" s="175">
        <v>345.68</v>
      </c>
      <c r="F36" s="175">
        <v>1113.4000000000001</v>
      </c>
      <c r="G36" s="175">
        <v>346.29</v>
      </c>
      <c r="H36" s="175">
        <v>1197.8</v>
      </c>
      <c r="I36" s="175">
        <v>0.53291999999999995</v>
      </c>
      <c r="J36" s="175">
        <v>1.5552999999999999</v>
      </c>
      <c r="K36" s="178"/>
    </row>
    <row r="37" spans="1:11">
      <c r="A37" s="175">
        <v>190</v>
      </c>
      <c r="B37" s="175">
        <v>377.59</v>
      </c>
      <c r="C37" s="175">
        <v>1.8331E-2</v>
      </c>
      <c r="D37" s="175">
        <v>2.4049999999999998</v>
      </c>
      <c r="E37" s="175">
        <v>350.39</v>
      </c>
      <c r="F37" s="175">
        <v>1114</v>
      </c>
      <c r="G37" s="175">
        <v>351.04</v>
      </c>
      <c r="H37" s="175">
        <v>1198.5999999999999</v>
      </c>
      <c r="I37" s="175">
        <v>0.53856999999999999</v>
      </c>
      <c r="J37" s="175">
        <v>1.5507</v>
      </c>
      <c r="K37" s="178"/>
    </row>
    <row r="38" spans="1:11">
      <c r="A38" s="175">
        <v>200</v>
      </c>
      <c r="B38" s="175">
        <v>381.86</v>
      </c>
      <c r="C38" s="175">
        <v>1.8387000000000001E-2</v>
      </c>
      <c r="D38" s="175">
        <v>2.2890000000000001</v>
      </c>
      <c r="E38" s="175">
        <v>354.9</v>
      </c>
      <c r="F38" s="175">
        <v>1114.5999999999999</v>
      </c>
      <c r="G38" s="175">
        <v>355.6</v>
      </c>
      <c r="H38" s="175">
        <v>1199.3</v>
      </c>
      <c r="I38" s="175">
        <v>0.54400000000000004</v>
      </c>
      <c r="J38" s="175">
        <v>1.5464</v>
      </c>
      <c r="K38" s="178"/>
    </row>
    <row r="39" spans="1:11">
      <c r="A39" s="175">
        <v>250</v>
      </c>
      <c r="B39" s="175">
        <v>401.04</v>
      </c>
      <c r="C39" s="175">
        <v>1.8652999999999999E-2</v>
      </c>
      <c r="D39" s="175">
        <v>1.8448</v>
      </c>
      <c r="E39" s="175">
        <v>375.4</v>
      </c>
      <c r="F39" s="175">
        <v>1116.7</v>
      </c>
      <c r="G39" s="175">
        <v>376.2</v>
      </c>
      <c r="H39" s="175">
        <v>1202.0999999999999</v>
      </c>
      <c r="I39" s="175">
        <v>0.56799999999999995</v>
      </c>
      <c r="J39" s="175">
        <v>1.5274000000000001</v>
      </c>
      <c r="K39" s="178"/>
    </row>
    <row r="40" spans="1:11">
      <c r="A40" s="175">
        <v>300</v>
      </c>
      <c r="B40" s="175">
        <v>417.43</v>
      </c>
      <c r="C40" s="175">
        <v>1.8896E-2</v>
      </c>
      <c r="D40" s="175" t="s">
        <v>86</v>
      </c>
      <c r="E40" s="175">
        <v>393</v>
      </c>
      <c r="F40" s="175">
        <v>1118.2</v>
      </c>
      <c r="G40" s="175">
        <v>394.1</v>
      </c>
      <c r="H40" s="175">
        <v>1203.9000000000001</v>
      </c>
      <c r="I40" s="175">
        <v>0.58830000000000005</v>
      </c>
      <c r="J40" s="175">
        <v>1.5115000000000001</v>
      </c>
      <c r="K40" s="178"/>
    </row>
    <row r="41" spans="1:11">
      <c r="A41" s="175">
        <v>350</v>
      </c>
      <c r="B41" s="175">
        <v>431.82</v>
      </c>
      <c r="C41" s="175">
        <v>1.9123999999999999E-2</v>
      </c>
      <c r="D41" s="175">
        <v>1.3267</v>
      </c>
      <c r="E41" s="175">
        <v>408.7</v>
      </c>
      <c r="F41" s="175">
        <v>1119</v>
      </c>
      <c r="G41" s="175">
        <v>409.9</v>
      </c>
      <c r="H41" s="175">
        <v>1204.9000000000001</v>
      </c>
      <c r="I41" s="175">
        <v>0.60599999999999998</v>
      </c>
      <c r="J41" s="175">
        <v>1.4978</v>
      </c>
      <c r="K41" s="178"/>
    </row>
    <row r="42" spans="1:11">
      <c r="A42" s="175">
        <v>400</v>
      </c>
      <c r="B42" s="175">
        <v>444.7</v>
      </c>
      <c r="C42" s="175">
        <v>1.934E-2</v>
      </c>
      <c r="D42" s="175">
        <v>1.1619999999999999</v>
      </c>
      <c r="E42" s="175">
        <v>422.8</v>
      </c>
      <c r="F42" s="175">
        <v>1119.5</v>
      </c>
      <c r="G42" s="175">
        <v>424.2</v>
      </c>
      <c r="H42" s="175">
        <v>1205.5</v>
      </c>
      <c r="I42" s="175">
        <v>0.62180000000000002</v>
      </c>
      <c r="J42" s="175">
        <v>1.4856</v>
      </c>
      <c r="K42" s="178"/>
    </row>
    <row r="43" spans="1:11">
      <c r="A43" s="175">
        <v>450</v>
      </c>
      <c r="B43" s="175">
        <v>456.39</v>
      </c>
      <c r="C43" s="175">
        <v>1.9546999999999998E-2</v>
      </c>
      <c r="D43" s="175">
        <v>1.0326</v>
      </c>
      <c r="E43" s="175">
        <v>435.7</v>
      </c>
      <c r="F43" s="175">
        <v>1119.5999999999999</v>
      </c>
      <c r="G43" s="175">
        <v>437.4</v>
      </c>
      <c r="H43" s="175">
        <v>1205.5999999999999</v>
      </c>
      <c r="I43" s="175">
        <v>0.63600000000000001</v>
      </c>
      <c r="J43" s="175">
        <v>1.4745999999999999</v>
      </c>
      <c r="K43" s="178"/>
    </row>
    <row r="44" spans="1:11">
      <c r="A44" s="175">
        <v>500</v>
      </c>
      <c r="B44" s="175">
        <v>467.13</v>
      </c>
      <c r="C44" s="175">
        <v>1.9748000000000002E-2</v>
      </c>
      <c r="D44" s="175">
        <v>0.92830000000000001</v>
      </c>
      <c r="E44" s="175">
        <v>447.7</v>
      </c>
      <c r="F44" s="175">
        <v>1119.4000000000001</v>
      </c>
      <c r="G44" s="175">
        <v>449.5</v>
      </c>
      <c r="H44" s="175">
        <v>1205.3</v>
      </c>
      <c r="I44" s="175">
        <v>0.64900000000000002</v>
      </c>
      <c r="J44" s="175">
        <v>1.4644999999999999</v>
      </c>
      <c r="K44" s="178"/>
    </row>
    <row r="45" spans="1:11">
      <c r="A45" s="175">
        <v>550</v>
      </c>
      <c r="B45" s="175">
        <v>477.07</v>
      </c>
      <c r="C45" s="175">
        <v>1.9942999999999999E-2</v>
      </c>
      <c r="D45" s="175">
        <v>0.84230000000000005</v>
      </c>
      <c r="E45" s="175">
        <v>458.9</v>
      </c>
      <c r="F45" s="175">
        <v>1119.0999999999999</v>
      </c>
      <c r="G45" s="175">
        <v>460.9</v>
      </c>
      <c r="H45" s="175">
        <v>1204.8</v>
      </c>
      <c r="I45" s="175">
        <v>0.66110000000000002</v>
      </c>
      <c r="J45" s="175">
        <v>1.4551000000000001</v>
      </c>
      <c r="K45" s="178"/>
    </row>
    <row r="46" spans="1:11">
      <c r="A46" s="175">
        <v>600</v>
      </c>
      <c r="B46" s="175">
        <v>486.33</v>
      </c>
      <c r="C46" s="175">
        <v>2.0129999999999999E-2</v>
      </c>
      <c r="D46" s="175">
        <v>0.7702</v>
      </c>
      <c r="E46" s="175">
        <v>469.4</v>
      </c>
      <c r="F46" s="175">
        <v>1118.5999999999999</v>
      </c>
      <c r="G46" s="175">
        <v>471.7</v>
      </c>
      <c r="H46" s="175">
        <v>1204.0999999999999</v>
      </c>
      <c r="I46" s="175">
        <v>0.67230000000000001</v>
      </c>
      <c r="J46" s="175">
        <v>1.4463999999999999</v>
      </c>
      <c r="K46" s="178"/>
    </row>
    <row r="47" spans="1:11">
      <c r="A47" s="175">
        <v>700</v>
      </c>
      <c r="B47" s="175">
        <v>503.23</v>
      </c>
      <c r="C47" s="175">
        <v>2.051E-2</v>
      </c>
      <c r="D47" s="175">
        <v>0.65580000000000005</v>
      </c>
      <c r="E47" s="175">
        <v>488.9</v>
      </c>
      <c r="F47" s="175">
        <v>1117</v>
      </c>
      <c r="G47" s="175">
        <v>491.5</v>
      </c>
      <c r="H47" s="175">
        <v>1202</v>
      </c>
      <c r="I47" s="175">
        <v>0.69269999999999998</v>
      </c>
      <c r="J47" s="175">
        <v>1.4305000000000001</v>
      </c>
      <c r="K47" s="178"/>
    </row>
    <row r="48" spans="1:11">
      <c r="A48" s="175">
        <v>800</v>
      </c>
      <c r="B48" s="175">
        <v>518.36</v>
      </c>
      <c r="C48" s="175">
        <v>2.087E-2</v>
      </c>
      <c r="D48" s="175">
        <v>0.56910000000000005</v>
      </c>
      <c r="E48" s="175">
        <v>506.6</v>
      </c>
      <c r="F48" s="175">
        <v>1115</v>
      </c>
      <c r="G48" s="175">
        <v>509.7</v>
      </c>
      <c r="H48" s="175">
        <v>1199.3</v>
      </c>
      <c r="I48" s="175">
        <v>0.71099999999999997</v>
      </c>
      <c r="J48" s="175">
        <v>1.4159999999999999</v>
      </c>
      <c r="K48" s="178"/>
    </row>
    <row r="49" spans="1:11">
      <c r="A49" s="175">
        <v>900</v>
      </c>
      <c r="B49" s="175">
        <v>532.12</v>
      </c>
      <c r="C49" s="175">
        <v>2.1229999999999999E-2</v>
      </c>
      <c r="D49" s="175">
        <v>0.50090000000000001</v>
      </c>
      <c r="E49" s="175">
        <v>523</v>
      </c>
      <c r="F49" s="175">
        <v>1112.5999999999999</v>
      </c>
      <c r="G49" s="175">
        <v>526.6</v>
      </c>
      <c r="H49" s="175">
        <v>1196</v>
      </c>
      <c r="I49" s="175">
        <v>0.72770000000000001</v>
      </c>
      <c r="J49" s="175">
        <v>1.4027000000000001</v>
      </c>
      <c r="K49" s="178"/>
    </row>
    <row r="50" spans="1:11">
      <c r="A50" s="175">
        <v>1000</v>
      </c>
      <c r="B50" s="175">
        <v>544.75</v>
      </c>
      <c r="C50" s="175">
        <v>2.1590000000000002E-2</v>
      </c>
      <c r="D50" s="175">
        <v>0.44590000000000002</v>
      </c>
      <c r="E50" s="175">
        <v>538.4</v>
      </c>
      <c r="F50" s="175">
        <v>1109.9000000000001</v>
      </c>
      <c r="G50" s="175">
        <v>542.4</v>
      </c>
      <c r="H50" s="175">
        <v>1192.4000000000001</v>
      </c>
      <c r="I50" s="175">
        <v>0.74319999999999997</v>
      </c>
      <c r="J50" s="175">
        <v>1.3903000000000001</v>
      </c>
      <c r="K50" s="178"/>
    </row>
    <row r="51" spans="1:11">
      <c r="A51" s="175">
        <v>1200</v>
      </c>
      <c r="B51" s="175">
        <v>567.37</v>
      </c>
      <c r="C51" s="175">
        <v>2.232E-2</v>
      </c>
      <c r="D51" s="175">
        <v>0.36230000000000001</v>
      </c>
      <c r="E51" s="175">
        <v>566.70000000000005</v>
      </c>
      <c r="F51" s="175">
        <v>1103.5</v>
      </c>
      <c r="G51" s="175">
        <v>571.70000000000005</v>
      </c>
      <c r="H51" s="175">
        <v>1183.9000000000001</v>
      </c>
      <c r="I51" s="175">
        <v>0.7712</v>
      </c>
      <c r="J51" s="175">
        <v>1.3673</v>
      </c>
      <c r="K51" s="178"/>
    </row>
    <row r="52" spans="1:11">
      <c r="A52" s="175">
        <v>1400</v>
      </c>
      <c r="B52" s="175">
        <v>587.25</v>
      </c>
      <c r="C52" s="175">
        <v>2.307E-2</v>
      </c>
      <c r="D52" s="175">
        <v>0.30159999999999998</v>
      </c>
      <c r="E52" s="175">
        <v>592.70000000000005</v>
      </c>
      <c r="F52" s="175">
        <v>1096</v>
      </c>
      <c r="G52" s="175">
        <v>598.6</v>
      </c>
      <c r="H52" s="175">
        <v>1174.0999999999999</v>
      </c>
      <c r="I52" s="175">
        <v>0.7964</v>
      </c>
      <c r="J52" s="175">
        <v>1.3461000000000001</v>
      </c>
      <c r="K52" s="178"/>
    </row>
    <row r="53" spans="1:11">
      <c r="A53" s="175">
        <v>1600</v>
      </c>
      <c r="B53" s="175">
        <v>605.05999999999995</v>
      </c>
      <c r="C53" s="175">
        <v>2.3859999999999999E-2</v>
      </c>
      <c r="D53" s="175">
        <v>0.25519999999999998</v>
      </c>
      <c r="E53" s="175">
        <v>616.9</v>
      </c>
      <c r="F53" s="175">
        <v>1087.4000000000001</v>
      </c>
      <c r="G53" s="175">
        <v>624</v>
      </c>
      <c r="H53" s="175">
        <v>1162.9000000000001</v>
      </c>
      <c r="I53" s="175">
        <v>0.8196</v>
      </c>
      <c r="J53" s="175">
        <v>1.3258000000000001</v>
      </c>
      <c r="K53" s="178"/>
    </row>
    <row r="54" spans="1:11">
      <c r="A54" s="175">
        <v>1800</v>
      </c>
      <c r="B54" s="175">
        <v>621.21</v>
      </c>
      <c r="C54" s="175">
        <v>2.4719999999999999E-2</v>
      </c>
      <c r="D54" s="175" t="s">
        <v>87</v>
      </c>
      <c r="E54" s="175">
        <v>640</v>
      </c>
      <c r="F54" s="175">
        <v>1077.7</v>
      </c>
      <c r="G54" s="175">
        <v>648.29999999999995</v>
      </c>
      <c r="H54" s="175">
        <v>1150.4000000000001</v>
      </c>
      <c r="I54" s="175">
        <v>0.84140000000000004</v>
      </c>
      <c r="J54" s="175">
        <v>1.306</v>
      </c>
      <c r="K54" s="178"/>
    </row>
    <row r="55" spans="1:11">
      <c r="A55" s="175">
        <v>2000</v>
      </c>
      <c r="B55" s="175">
        <v>636</v>
      </c>
      <c r="C55" s="175">
        <v>2.5649999999999999E-2</v>
      </c>
      <c r="D55" s="175">
        <v>0.18812999999999999</v>
      </c>
      <c r="E55" s="175">
        <v>662.4</v>
      </c>
      <c r="F55" s="175">
        <v>1066.5999999999999</v>
      </c>
      <c r="G55" s="175">
        <v>671.9</v>
      </c>
      <c r="H55" s="175">
        <v>1136.3</v>
      </c>
      <c r="I55" s="175">
        <v>0.86229999999999996</v>
      </c>
      <c r="J55" s="175">
        <v>1.2861</v>
      </c>
      <c r="K55" s="178"/>
    </row>
    <row r="56" spans="1:11">
      <c r="A56" s="175">
        <v>2500</v>
      </c>
      <c r="B56" s="175">
        <v>668.31</v>
      </c>
      <c r="C56" s="175">
        <v>2.86E-2</v>
      </c>
      <c r="D56" s="175">
        <v>0.13059000000000001</v>
      </c>
      <c r="E56" s="175">
        <v>717.7</v>
      </c>
      <c r="F56" s="175">
        <v>1031</v>
      </c>
      <c r="G56" s="175">
        <v>730.9</v>
      </c>
      <c r="H56" s="175">
        <v>1091.4000000000001</v>
      </c>
      <c r="I56" s="175">
        <v>0.91310000000000002</v>
      </c>
      <c r="J56" s="175">
        <v>1.2326999999999999</v>
      </c>
      <c r="K56" s="178"/>
    </row>
    <row r="57" spans="1:11">
      <c r="A57" s="175">
        <v>3000</v>
      </c>
      <c r="B57" s="175">
        <v>695.52</v>
      </c>
      <c r="C57" s="175">
        <v>3.431E-2</v>
      </c>
      <c r="D57" s="175">
        <v>8.4040000000000004E-2</v>
      </c>
      <c r="E57" s="175">
        <v>783.4</v>
      </c>
      <c r="F57" s="175">
        <v>968.8</v>
      </c>
      <c r="G57" s="175">
        <v>802.5</v>
      </c>
      <c r="H57" s="175">
        <v>1015.5</v>
      </c>
      <c r="I57" s="175">
        <v>0.97319999999999995</v>
      </c>
      <c r="J57" s="175">
        <v>1.1575</v>
      </c>
      <c r="K57" s="178"/>
    </row>
    <row r="58" spans="1:11">
      <c r="A58" s="183">
        <v>3203.6</v>
      </c>
      <c r="B58" s="183">
        <v>705.44</v>
      </c>
      <c r="C58" s="183">
        <v>5.0529999999999999E-2</v>
      </c>
      <c r="D58" s="183">
        <v>5.0529999999999999E-2</v>
      </c>
      <c r="E58" s="183">
        <v>872.6</v>
      </c>
      <c r="F58" s="183">
        <v>872.6</v>
      </c>
      <c r="G58" s="183">
        <v>902.5</v>
      </c>
      <c r="H58" s="183">
        <v>902.5</v>
      </c>
      <c r="I58" s="183">
        <v>1.0580000000000001</v>
      </c>
      <c r="J58" s="183">
        <v>1.0580000000000001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b316f4c-d27c-4caa-be00-51fe01ca5845">J6QDHUS4PFW7-272-7</_dlc_DocId>
    <_dlc_DocIdUrl xmlns="cb316f4c-d27c-4caa-be00-51fe01ca5845">
      <Url>https://rsgrp.sharepoint.com/programs/nicor/_layouts/DocIdRedir.aspx?ID=J6QDHUS4PFW7-272-7</Url>
      <Description>J6QDHUS4PFW7-272-7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5689280613E744CBCAB3B9F6BDB2212" ma:contentTypeVersion="0" ma:contentTypeDescription="Create a new document." ma:contentTypeScope="" ma:versionID="540c6a7dcb25888f3c30628cc285988c">
  <xsd:schema xmlns:xsd="http://www.w3.org/2001/XMLSchema" xmlns:xs="http://www.w3.org/2001/XMLSchema" xmlns:p="http://schemas.microsoft.com/office/2006/metadata/properties" xmlns:ns2="cb316f4c-d27c-4caa-be00-51fe01ca5845" targetNamespace="http://schemas.microsoft.com/office/2006/metadata/properties" ma:root="true" ma:fieldsID="afc1482585822330eb963d039d40b149" ns2:_="">
    <xsd:import namespace="cb316f4c-d27c-4caa-be00-51fe01ca584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16f4c-d27c-4caa-be00-51fe01ca58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78C848-ABD1-44DE-81D6-73E4BC0E79AE}">
  <ds:schemaRefs>
    <ds:schemaRef ds:uri="http://schemas.microsoft.com/office/2006/documentManagement/types"/>
    <ds:schemaRef ds:uri="cb316f4c-d27c-4caa-be00-51fe01ca5845"/>
    <ds:schemaRef ds:uri="http://purl.org/dc/term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8362AAB-F673-4865-B5A0-ED7AA4B61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16f4c-d27c-4caa-be00-51fe01ca58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34BA8F-1D81-400F-81E6-7883008EEED9}">
  <ds:schemaRefs>
    <ds:schemaRef ds:uri="http://schemas.microsoft.com/sharepoint/events"/>
  </ds:schemaRefs>
</ds:datastoreItem>
</file>

<file path=customXml/itemProps4.xml><?xml version="1.0" encoding="utf-8"?>
<ds:datastoreItem xmlns:ds="http://schemas.openxmlformats.org/officeDocument/2006/customXml" ds:itemID="{9FEED7EF-6920-459D-B672-3437A2E31F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Flue Stack Economizer</vt:lpstr>
      <vt:lpstr>Hx Effectiveness (NTU)</vt:lpstr>
      <vt:lpstr>Pre-Analysis</vt:lpstr>
      <vt:lpstr>Calculations</vt:lpstr>
      <vt:lpstr>Steam Table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Selwyn</dc:creator>
  <cp:lastModifiedBy>Jeremy Selwyn</cp:lastModifiedBy>
  <dcterms:created xsi:type="dcterms:W3CDTF">2012-09-26T13:17:51Z</dcterms:created>
  <dcterms:modified xsi:type="dcterms:W3CDTF">2014-07-07T16:11:22Z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a7bfa129-0be3-451a-9656-1a3c9916199b</vt:lpwstr>
  </property>
  <property fmtid="{D5CDD505-2E9C-101B-9397-08002B2CF9AE}" pid="3" name="ContentTypeId">
    <vt:lpwstr>0x01010095689280613E744CBCAB3B9F6BDB2212</vt:lpwstr>
  </property>
  <property fmtid="{D5CDD505-2E9C-101B-9397-08002B2CF9AE}" pid="4" name="_AdHocReviewCycleID">
    <vt:i4>-932860553</vt:i4>
  </property>
  <property fmtid="{D5CDD505-2E9C-101B-9397-08002B2CF9AE}" pid="5" name="_NewReviewCycle">
    <vt:lpwstr/>
  </property>
  <property fmtid="{D5CDD505-2E9C-101B-9397-08002B2CF9AE}" pid="6" name="_EmailSubject">
    <vt:lpwstr>Calculators have our old logo</vt:lpwstr>
  </property>
  <property fmtid="{D5CDD505-2E9C-101B-9397-08002B2CF9AE}" pid="7" name="_AuthorEmail">
    <vt:lpwstr>Mary.Nokes@clearesult.com</vt:lpwstr>
  </property>
  <property fmtid="{D5CDD505-2E9C-101B-9397-08002B2CF9AE}" pid="8" name="_AuthorEmailDisplayName">
    <vt:lpwstr>Mary Nokes</vt:lpwstr>
  </property>
  <property fmtid="{D5CDD505-2E9C-101B-9397-08002B2CF9AE}" pid="9" name="_PreviousAdHocReviewCycleID">
    <vt:i4>1360600904</vt:i4>
  </property>
</Properties>
</file>